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er\Documents\"/>
    </mc:Choice>
  </mc:AlternateContent>
  <bookViews>
    <workbookView xWindow="240" yWindow="255" windowWidth="20115" windowHeight="7365" firstSheet="1" activeTab="1"/>
  </bookViews>
  <sheets>
    <sheet name="Sheet2" sheetId="2" state="hidden" r:id="rId1"/>
    <sheet name="Farmer input" sheetId="3" r:id="rId2"/>
    <sheet name="Calculations" sheetId="4" state="hidden" r:id="rId3"/>
    <sheet name="Sheet1" sheetId="5" state="hidden" r:id="rId4"/>
    <sheet name="Sheet3" sheetId="6" state="hidden" r:id="rId5"/>
    <sheet name="Sheet4" sheetId="7" state="hidden" r:id="rId6"/>
  </sheets>
  <calcPr calcId="171027"/>
</workbook>
</file>

<file path=xl/calcChain.xml><?xml version="1.0" encoding="utf-8"?>
<calcChain xmlns="http://schemas.openxmlformats.org/spreadsheetml/2006/main">
  <c r="S2" i="4" l="1"/>
  <c r="Q30" i="4" l="1"/>
  <c r="R30" i="4"/>
  <c r="R31" i="4"/>
  <c r="S31" i="4" s="1"/>
  <c r="Q32" i="4"/>
  <c r="Q29" i="4"/>
  <c r="Q31" i="4"/>
  <c r="Q28" i="4"/>
  <c r="Q26" i="4"/>
  <c r="R26" i="4"/>
  <c r="R27" i="4"/>
  <c r="S27" i="4" s="1"/>
  <c r="Q27" i="4"/>
  <c r="T27" i="4" l="1"/>
  <c r="T31" i="4"/>
  <c r="M19" i="4"/>
  <c r="N19" i="4"/>
  <c r="M20" i="4"/>
  <c r="N20" i="4"/>
  <c r="L20" i="4"/>
  <c r="L19" i="4"/>
  <c r="L22" i="4" l="1"/>
  <c r="L23" i="4" s="1"/>
  <c r="L7" i="4" s="1"/>
  <c r="B34" i="3" s="1"/>
  <c r="M22" i="4"/>
  <c r="M23" i="4" s="1"/>
  <c r="M7" i="4" s="1"/>
  <c r="C34" i="3" s="1"/>
  <c r="N22" i="4"/>
  <c r="N23" i="4" s="1"/>
  <c r="N7" i="4" s="1"/>
  <c r="D34" i="3" s="1"/>
  <c r="M2" i="4"/>
  <c r="N2" i="4"/>
  <c r="L2" i="4"/>
  <c r="A47" i="3" l="1"/>
  <c r="A48" i="3"/>
  <c r="A46" i="3"/>
  <c r="B48" i="4"/>
  <c r="F64" i="2"/>
  <c r="B64" i="2"/>
  <c r="B25" i="4"/>
  <c r="B40" i="4"/>
  <c r="B41" i="4" s="1"/>
  <c r="B17" i="4"/>
  <c r="B18" i="4" s="1"/>
  <c r="S6" i="4"/>
  <c r="U3" i="4"/>
  <c r="U4" i="4"/>
  <c r="U5" i="4"/>
  <c r="U6" i="4"/>
  <c r="U2" i="4"/>
  <c r="S3" i="4"/>
  <c r="S4" i="4"/>
  <c r="S5" i="4"/>
  <c r="T3" i="4"/>
  <c r="T4" i="4"/>
  <c r="T5" i="4"/>
  <c r="T6" i="4"/>
  <c r="T2" i="4"/>
  <c r="B23" i="3"/>
  <c r="L3" i="4"/>
  <c r="M6" i="4"/>
  <c r="N6" i="4"/>
  <c r="L6" i="4"/>
  <c r="B55" i="4"/>
  <c r="B54" i="4"/>
  <c r="C54" i="4" s="1"/>
  <c r="B32" i="4"/>
  <c r="B31" i="4"/>
  <c r="C31" i="4" s="1"/>
  <c r="B9" i="4"/>
  <c r="C9" i="4" s="1"/>
  <c r="B8" i="4"/>
  <c r="C8" i="4" s="1"/>
  <c r="B64" i="4"/>
  <c r="B2" i="4"/>
  <c r="B3" i="2"/>
  <c r="G29" i="2"/>
  <c r="F52" i="2"/>
  <c r="G52" i="2" s="1"/>
  <c r="C54" i="2"/>
  <c r="C55" i="2"/>
  <c r="F29" i="2"/>
  <c r="C31" i="2"/>
  <c r="C32" i="2"/>
  <c r="F6" i="2"/>
  <c r="G6" i="2" s="1"/>
  <c r="C8" i="2"/>
  <c r="C9" i="2"/>
  <c r="C76" i="2" l="1"/>
  <c r="E76" i="2"/>
  <c r="F76" i="2"/>
  <c r="D76" i="2"/>
  <c r="B76" i="2"/>
  <c r="W4" i="4"/>
  <c r="W6" i="4"/>
  <c r="W3" i="4"/>
  <c r="W5" i="4"/>
  <c r="C55" i="4"/>
  <c r="H56" i="4" s="1"/>
  <c r="I56" i="4" s="1"/>
  <c r="D43" i="3" s="1"/>
  <c r="C32" i="4"/>
  <c r="H33" i="4" s="1"/>
  <c r="I33" i="4" s="1"/>
  <c r="C43" i="3" s="1"/>
  <c r="Y2" i="4"/>
  <c r="W2" i="4"/>
  <c r="V2" i="4"/>
  <c r="L4" i="4"/>
  <c r="M3" i="4" s="1"/>
  <c r="B26" i="4" s="1"/>
  <c r="M4" i="4"/>
  <c r="N4" i="4"/>
  <c r="B57" i="4"/>
  <c r="B11" i="4"/>
  <c r="B34" i="4" s="1"/>
  <c r="H10" i="4"/>
  <c r="I10" i="4" s="1"/>
  <c r="B43" i="3" s="1"/>
  <c r="B7" i="4"/>
  <c r="B53" i="4"/>
  <c r="D29" i="3" s="1"/>
  <c r="H57" i="4"/>
  <c r="I57" i="4" s="1"/>
  <c r="D40" i="3" s="1"/>
  <c r="H34" i="4"/>
  <c r="I34" i="4" s="1"/>
  <c r="C40" i="3" s="1"/>
  <c r="H11" i="4"/>
  <c r="I11" i="4" s="1"/>
  <c r="B40" i="3" s="1"/>
  <c r="V3" i="4"/>
  <c r="V6" i="4"/>
  <c r="V5" i="4"/>
  <c r="V4" i="4"/>
  <c r="B3" i="4"/>
  <c r="F52" i="4"/>
  <c r="G52" i="4" s="1"/>
  <c r="F29" i="4"/>
  <c r="G29" i="4" s="1"/>
  <c r="F6" i="4"/>
  <c r="G6" i="4" s="1"/>
  <c r="B30" i="4"/>
  <c r="B61" i="2"/>
  <c r="M5" i="2"/>
  <c r="B38" i="2" s="1"/>
  <c r="N5" i="2"/>
  <c r="O5" i="2"/>
  <c r="L5" i="2"/>
  <c r="B15" i="2" s="1"/>
  <c r="B49" i="2"/>
  <c r="B48" i="2"/>
  <c r="E64" i="2"/>
  <c r="D64" i="2"/>
  <c r="C64" i="2"/>
  <c r="B53" i="2"/>
  <c r="B26" i="2"/>
  <c r="B25" i="2"/>
  <c r="B2" i="2"/>
  <c r="B30" i="2"/>
  <c r="F41" i="2"/>
  <c r="E41" i="2"/>
  <c r="D41" i="2"/>
  <c r="C41" i="2"/>
  <c r="B41" i="2"/>
  <c r="C18" i="2"/>
  <c r="D18" i="2"/>
  <c r="E18" i="2"/>
  <c r="F18" i="2"/>
  <c r="B18" i="2"/>
  <c r="B7" i="2"/>
  <c r="C30" i="2" l="1"/>
  <c r="F30" i="2" s="1"/>
  <c r="B35" i="2"/>
  <c r="F58" i="2"/>
  <c r="C53" i="2"/>
  <c r="F53" i="2" s="1"/>
  <c r="D58" i="2"/>
  <c r="C58" i="2"/>
  <c r="B58" i="2"/>
  <c r="B59" i="2" s="1"/>
  <c r="B60" i="2" s="1"/>
  <c r="B65" i="2" s="1"/>
  <c r="B70" i="2" s="1"/>
  <c r="E58" i="2"/>
  <c r="E59" i="2" s="1"/>
  <c r="E60" i="2" s="1"/>
  <c r="C59" i="2"/>
  <c r="F59" i="2"/>
  <c r="D59" i="2"/>
  <c r="B36" i="2"/>
  <c r="B37" i="2" s="1"/>
  <c r="U27" i="4"/>
  <c r="U31" i="4"/>
  <c r="W7" i="4"/>
  <c r="L5" i="4"/>
  <c r="B15" i="4" s="1"/>
  <c r="C15" i="4" s="1"/>
  <c r="N3" i="4"/>
  <c r="B49" i="4" s="1"/>
  <c r="M5" i="4"/>
  <c r="B38" i="4" s="1"/>
  <c r="C38" i="4" s="1"/>
  <c r="B35" i="4"/>
  <c r="B36" i="4" s="1"/>
  <c r="B37" i="4" s="1"/>
  <c r="B12" i="4"/>
  <c r="B44" i="3"/>
  <c r="B70" i="4"/>
  <c r="B58" i="4"/>
  <c r="B41" i="3"/>
  <c r="B73" i="4"/>
  <c r="B46" i="3" s="1"/>
  <c r="V7" i="4"/>
  <c r="C29" i="3"/>
  <c r="B29" i="3"/>
  <c r="C30" i="4"/>
  <c r="F30" i="4" s="1"/>
  <c r="G30" i="4" s="1"/>
  <c r="C53" i="4"/>
  <c r="C7" i="4"/>
  <c r="F7" i="4" s="1"/>
  <c r="F8" i="4" s="1"/>
  <c r="G8" i="4" s="1"/>
  <c r="C12" i="2"/>
  <c r="C13" i="2" s="1"/>
  <c r="C14" i="2" s="1"/>
  <c r="C19" i="2" s="1"/>
  <c r="C7" i="2"/>
  <c r="F7" i="2" s="1"/>
  <c r="E12" i="2"/>
  <c r="E13" i="2" s="1"/>
  <c r="E14" i="2" s="1"/>
  <c r="E19" i="2" s="1"/>
  <c r="D12" i="2"/>
  <c r="D13" i="2" s="1"/>
  <c r="D14" i="2" s="1"/>
  <c r="D19" i="2" s="1"/>
  <c r="D21" i="2" s="1"/>
  <c r="F12" i="2"/>
  <c r="F13" i="2" s="1"/>
  <c r="F14" i="2" s="1"/>
  <c r="F19" i="2" s="1"/>
  <c r="D60" i="2"/>
  <c r="D65" i="2" s="1"/>
  <c r="F35" i="2"/>
  <c r="E35" i="2"/>
  <c r="F60" i="2"/>
  <c r="F65" i="2" s="1"/>
  <c r="D35" i="2"/>
  <c r="D36" i="2" s="1"/>
  <c r="D37" i="2" s="1"/>
  <c r="D42" i="2" s="1"/>
  <c r="C60" i="2"/>
  <c r="C65" i="2" s="1"/>
  <c r="B12" i="2"/>
  <c r="B13" i="2" s="1"/>
  <c r="B14" i="2" s="1"/>
  <c r="B19" i="2" s="1"/>
  <c r="B42" i="2"/>
  <c r="B43" i="2" s="1"/>
  <c r="C35" i="2"/>
  <c r="C36" i="2" s="1"/>
  <c r="C37" i="2" s="1"/>
  <c r="C42" i="2" s="1"/>
  <c r="F36" i="2"/>
  <c r="F37" i="2" s="1"/>
  <c r="F42" i="2" s="1"/>
  <c r="E36" i="2"/>
  <c r="E37" i="2" s="1"/>
  <c r="E42" i="2" s="1"/>
  <c r="F54" i="2" l="1"/>
  <c r="G54" i="2" s="1"/>
  <c r="G53" i="2"/>
  <c r="F31" i="2"/>
  <c r="G31" i="2" s="1"/>
  <c r="G30" i="2"/>
  <c r="B55" i="3"/>
  <c r="W31" i="4"/>
  <c r="W27" i="4"/>
  <c r="B52" i="3"/>
  <c r="R32" i="4"/>
  <c r="R28" i="4"/>
  <c r="C16" i="4"/>
  <c r="C17" i="4" s="1"/>
  <c r="C19" i="4" s="1"/>
  <c r="B42" i="4"/>
  <c r="C36" i="3" s="1"/>
  <c r="N5" i="4"/>
  <c r="B61" i="4" s="1"/>
  <c r="C61" i="4" s="1"/>
  <c r="C62" i="4" s="1"/>
  <c r="C63" i="4" s="1"/>
  <c r="B65" i="4" s="1"/>
  <c r="B66" i="4" s="1"/>
  <c r="D37" i="3" s="1"/>
  <c r="B13" i="4"/>
  <c r="B14" i="4" s="1"/>
  <c r="B19" i="4" s="1"/>
  <c r="B36" i="3" s="1"/>
  <c r="C39" i="4"/>
  <c r="C40" i="4" s="1"/>
  <c r="C42" i="4" s="1"/>
  <c r="B59" i="4"/>
  <c r="B60" i="4" s="1"/>
  <c r="F53" i="4"/>
  <c r="F54" i="4" s="1"/>
  <c r="G54" i="4" s="1"/>
  <c r="G7" i="4"/>
  <c r="F31" i="4"/>
  <c r="G31" i="4" s="1"/>
  <c r="F8" i="2"/>
  <c r="G8" i="2" s="1"/>
  <c r="G7" i="2"/>
  <c r="B68" i="2"/>
  <c r="B67" i="2"/>
  <c r="B66" i="2"/>
  <c r="F68" i="2"/>
  <c r="F67" i="2"/>
  <c r="F66" i="2"/>
  <c r="D66" i="2"/>
  <c r="D68" i="2"/>
  <c r="D67" i="2"/>
  <c r="C67" i="2"/>
  <c r="C66" i="2"/>
  <c r="C68" i="2"/>
  <c r="B22" i="2"/>
  <c r="B21" i="2"/>
  <c r="B20" i="2"/>
  <c r="E22" i="2"/>
  <c r="E21" i="2"/>
  <c r="E20" i="2"/>
  <c r="E43" i="2"/>
  <c r="E45" i="2"/>
  <c r="E44" i="2"/>
  <c r="C43" i="2"/>
  <c r="C45" i="2"/>
  <c r="C44" i="2"/>
  <c r="B44" i="2"/>
  <c r="B45" i="2"/>
  <c r="D22" i="2"/>
  <c r="D20" i="2"/>
  <c r="D45" i="2"/>
  <c r="D44" i="2"/>
  <c r="D43" i="2"/>
  <c r="C22" i="2"/>
  <c r="C21" i="2"/>
  <c r="C20" i="2"/>
  <c r="F22" i="2"/>
  <c r="F21" i="2"/>
  <c r="F20" i="2"/>
  <c r="F44" i="2"/>
  <c r="F43" i="2"/>
  <c r="F45" i="2"/>
  <c r="E65" i="2"/>
  <c r="C70" i="2"/>
  <c r="D70" i="2"/>
  <c r="F70" i="2"/>
  <c r="B74" i="2" l="1"/>
  <c r="D73" i="2"/>
  <c r="F73" i="2"/>
  <c r="B43" i="4"/>
  <c r="C37" i="3" s="1"/>
  <c r="D36" i="3"/>
  <c r="B38" i="3"/>
  <c r="B57" i="3" s="1"/>
  <c r="G53" i="4"/>
  <c r="B20" i="4"/>
  <c r="B37" i="3" s="1"/>
  <c r="C74" i="2"/>
  <c r="D72" i="2"/>
  <c r="F74" i="2"/>
  <c r="C72" i="2"/>
  <c r="D74" i="2"/>
  <c r="B73" i="2"/>
  <c r="F72" i="2"/>
  <c r="C73" i="2"/>
  <c r="B72" i="2"/>
  <c r="F77" i="2"/>
  <c r="F78" i="2" s="1"/>
  <c r="C77" i="2"/>
  <c r="C78" i="2" s="1"/>
  <c r="D77" i="2"/>
  <c r="D78" i="2" s="1"/>
  <c r="B77" i="2"/>
  <c r="B78" i="2" s="1"/>
  <c r="E77" i="2"/>
  <c r="E78" i="2" s="1"/>
  <c r="E70" i="2"/>
  <c r="E68" i="2"/>
  <c r="E74" i="2" s="1"/>
  <c r="E67" i="2"/>
  <c r="E73" i="2" s="1"/>
  <c r="E66" i="2"/>
  <c r="E72" i="2" s="1"/>
  <c r="B74" i="4" l="1"/>
  <c r="B47" i="3" s="1"/>
  <c r="B75" i="4" l="1"/>
  <c r="B48" i="3" s="1"/>
</calcChain>
</file>

<file path=xl/sharedStrings.xml><?xml version="1.0" encoding="utf-8"?>
<sst xmlns="http://schemas.openxmlformats.org/spreadsheetml/2006/main" count="232" uniqueCount="86">
  <si>
    <t>Grass Demand</t>
  </si>
  <si>
    <t>September</t>
  </si>
  <si>
    <t>October</t>
  </si>
  <si>
    <t>November</t>
  </si>
  <si>
    <t>August</t>
  </si>
  <si>
    <t>Parlour Feed</t>
  </si>
  <si>
    <t>Grass Gowth</t>
  </si>
  <si>
    <t>Opening cover</t>
  </si>
  <si>
    <t>Diet</t>
  </si>
  <si>
    <t>Grazed Grass</t>
  </si>
  <si>
    <t>Soyahull</t>
  </si>
  <si>
    <t>Total intake</t>
  </si>
  <si>
    <t>Surplus grass per day (kg/ha)</t>
  </si>
  <si>
    <t>Surplus grass per month (kg/ha)</t>
  </si>
  <si>
    <t>Cover to build (kg/ha)</t>
  </si>
  <si>
    <t>Potential round bales</t>
  </si>
  <si>
    <t>No.Ha farmed</t>
  </si>
  <si>
    <t>No.acres farmed</t>
  </si>
  <si>
    <t>Opening farm cover (kg/ha)</t>
  </si>
  <si>
    <t>Closing cover</t>
  </si>
  <si>
    <t>Growth rate</t>
  </si>
  <si>
    <t>monthly cover change</t>
  </si>
  <si>
    <t>No.of cows fed over 5 month winter</t>
  </si>
  <si>
    <t>No.of cows fed over 3 month winter</t>
  </si>
  <si>
    <t>No.of cows fed over 4 month winter</t>
  </si>
  <si>
    <t>Total Round bales conserved over the 3 months</t>
  </si>
  <si>
    <t>Grass Demand per ha (kg/ha)</t>
  </si>
  <si>
    <t>Grass</t>
  </si>
  <si>
    <t>Hulls</t>
  </si>
  <si>
    <t>Parlour feed</t>
  </si>
  <si>
    <t>Milk yield</t>
  </si>
  <si>
    <t>Milk Price</t>
  </si>
  <si>
    <t>Milk Value</t>
  </si>
  <si>
    <t>Diet cost</t>
  </si>
  <si>
    <t>Margin after feed</t>
  </si>
  <si>
    <t>per day</t>
  </si>
  <si>
    <t>per month</t>
  </si>
  <si>
    <t xml:space="preserve">Milk Sales over the 3 months (€) </t>
  </si>
  <si>
    <t xml:space="preserve">Feed Costs over 3 months (€) </t>
  </si>
  <si>
    <t xml:space="preserve">Margin after feed costs over the 3 months (€) </t>
  </si>
  <si>
    <t>Farm Size (ha)</t>
  </si>
  <si>
    <t>Stocking Rate (lu/Ha)</t>
  </si>
  <si>
    <t>Grass (kgDM)</t>
  </si>
  <si>
    <t>Parlour Feed (kg Fresh)</t>
  </si>
  <si>
    <t>Milk yield (kg)</t>
  </si>
  <si>
    <t>Milk Price (c/ltr)</t>
  </si>
  <si>
    <t>Length of your winter (months)</t>
  </si>
  <si>
    <t>Stock Numbers</t>
  </si>
  <si>
    <t>Cows</t>
  </si>
  <si>
    <t>In-calf heifers</t>
  </si>
  <si>
    <t>Weanling</t>
  </si>
  <si>
    <t>Store cattle</t>
  </si>
  <si>
    <t>Bulls</t>
  </si>
  <si>
    <t>Proportion of your winter requirement silage requirement</t>
  </si>
  <si>
    <t>Cost of soyahulls</t>
  </si>
  <si>
    <t>Feeding plan:</t>
  </si>
  <si>
    <t xml:space="preserve">Margin after total feed costs over the 3 months (€) </t>
  </si>
  <si>
    <t>kg To build cover</t>
  </si>
  <si>
    <t>kg To build cover and meet intake</t>
  </si>
  <si>
    <t>kg excess grass per ha</t>
  </si>
  <si>
    <t>Potential Round bales</t>
  </si>
  <si>
    <t>Grass Extender (kg Fresh)</t>
  </si>
  <si>
    <t>Average daily grass Growth (kgDm/ha)</t>
  </si>
  <si>
    <t>Average farm cover 1st August (kgDm/ha)</t>
  </si>
  <si>
    <t>Milk Protein %</t>
  </si>
  <si>
    <t>Milk Fat %</t>
  </si>
  <si>
    <t>2018 Potential daily grass Growth (kgDm/ha)</t>
  </si>
  <si>
    <t>Cows numbers</t>
  </si>
  <si>
    <t>A</t>
  </si>
  <si>
    <t>B</t>
  </si>
  <si>
    <t>C</t>
  </si>
  <si>
    <t>Fat</t>
  </si>
  <si>
    <t>Protein</t>
  </si>
  <si>
    <t>Grass Extender required per month (T)</t>
  </si>
  <si>
    <t>Cost of additional Grass Extender per month (€)</t>
  </si>
  <si>
    <t>Total Cost of additional Grass Extender (€)</t>
  </si>
  <si>
    <t>Total Feed Costs over 3 months (€) (including grass cost)</t>
  </si>
  <si>
    <t>Total Grass Extender required (T)</t>
  </si>
  <si>
    <t>Potential number of round bales to conserved per month:</t>
  </si>
  <si>
    <t>Proportion of your Dairy cows winter requirement conserved per month:</t>
  </si>
  <si>
    <t xml:space="preserve">Maize Silage </t>
  </si>
  <si>
    <t>Acres</t>
  </si>
  <si>
    <t>Wholecrop</t>
  </si>
  <si>
    <t>Proportion of your Dairy cows winter forage requirement conserved in total:</t>
  </si>
  <si>
    <t>Proportion of your Dairy cows winter forage requirement:</t>
  </si>
  <si>
    <t>Proportion of your Dairy cows winter forage requirement from                      August - October bales, Maize Silage, Wholecrop Silage: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</si>
</sst>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€&quot;#,##0;\-&quot;€&quot;#,##0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9" fontId="3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5" fontId="2" fillId="2" borderId="1" xfId="0" applyNumberFormat="1" applyFont="1" applyFill="1" applyBorder="1" applyAlignment="1">
      <alignment horizontal="center"/>
    </xf>
    <xf numFmtId="5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9" fontId="4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9" fontId="4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</xdr:colOff>
      <xdr:row>8</xdr:row>
      <xdr:rowOff>10583</xdr:rowOff>
    </xdr:from>
    <xdr:to>
      <xdr:col>11</xdr:col>
      <xdr:colOff>613832</xdr:colOff>
      <xdr:row>10</xdr:row>
      <xdr:rowOff>179917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043082" y="1534583"/>
          <a:ext cx="4847167" cy="550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Due to</a:t>
          </a:r>
          <a:r>
            <a:rPr lang="en-IE" sz="1100" baseline="0"/>
            <a:t> the heat in the ground and fertiliser sitting on the ground , </a:t>
          </a:r>
          <a:r>
            <a:rPr lang="en-IE" sz="1100"/>
            <a:t>onc</a:t>
          </a:r>
          <a:r>
            <a:rPr lang="en-IE" sz="1100" baseline="0"/>
            <a:t>e the rain arrives there is potential for growth of 30% above the average</a:t>
          </a:r>
          <a:endParaRPr lang="en-IE" sz="1100"/>
        </a:p>
      </xdr:txBody>
    </xdr:sp>
    <xdr:clientData/>
  </xdr:twoCellAnchor>
  <xdr:twoCellAnchor>
    <xdr:from>
      <xdr:col>2</xdr:col>
      <xdr:colOff>84666</xdr:colOff>
      <xdr:row>21</xdr:row>
      <xdr:rowOff>158751</xdr:rowOff>
    </xdr:from>
    <xdr:to>
      <xdr:col>11</xdr:col>
      <xdr:colOff>592666</xdr:colOff>
      <xdr:row>24</xdr:row>
      <xdr:rowOff>31751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03749" y="2751668"/>
          <a:ext cx="6265334" cy="44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Your</a:t>
          </a:r>
          <a:r>
            <a:rPr lang="en-IE" sz="1100" baseline="0"/>
            <a:t> average farm over on the 1st of August will impact how much grass you need to build to ensure you have sufficient grass on the farm next spring</a:t>
          </a:r>
          <a:endParaRPr lang="en-IE" sz="1100"/>
        </a:p>
      </xdr:txBody>
    </xdr:sp>
    <xdr:clientData/>
  </xdr:twoCellAnchor>
  <xdr:twoCellAnchor>
    <xdr:from>
      <xdr:col>4</xdr:col>
      <xdr:colOff>137582</xdr:colOff>
      <xdr:row>25</xdr:row>
      <xdr:rowOff>0</xdr:rowOff>
    </xdr:from>
    <xdr:to>
      <xdr:col>11</xdr:col>
      <xdr:colOff>603249</xdr:colOff>
      <xdr:row>28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117165" y="3270250"/>
          <a:ext cx="4762501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By</a:t>
          </a:r>
          <a:r>
            <a:rPr lang="en-IE" sz="1100" baseline="0"/>
            <a:t> f</a:t>
          </a:r>
          <a:r>
            <a:rPr lang="en-IE" sz="1100"/>
            <a:t>eeding extra concentrates in the parlour or the grass extender mid-day</a:t>
          </a:r>
          <a:r>
            <a:rPr lang="en-IE" sz="1100" baseline="0"/>
            <a:t> you can drop your grass demand below the potential growth and conserve the excess grass as bales </a:t>
          </a:r>
          <a:endParaRPr lang="en-IE" sz="1100"/>
        </a:p>
      </xdr:txBody>
    </xdr:sp>
    <xdr:clientData/>
  </xdr:twoCellAnchor>
  <xdr:twoCellAnchor>
    <xdr:from>
      <xdr:col>4</xdr:col>
      <xdr:colOff>148166</xdr:colOff>
      <xdr:row>30</xdr:row>
      <xdr:rowOff>31749</xdr:rowOff>
    </xdr:from>
    <xdr:to>
      <xdr:col>11</xdr:col>
      <xdr:colOff>592665</xdr:colOff>
      <xdr:row>35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65760" y="3984624"/>
          <a:ext cx="4695030" cy="694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2017 society averages for August</a:t>
          </a:r>
          <a:r>
            <a:rPr lang="en-IE" sz="1100" baseline="0"/>
            <a:t> - October yield and consituents were: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100" baseline="0"/>
            <a:t>August:19kg,3.58%Pro,4.28%Fat; </a:t>
          </a:r>
          <a:r>
            <a:rPr lang="en-I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September:17kg,3.77%Pro,4.40%Fat; October:14kg,3.91%Pro,4.71%Fat</a:t>
          </a:r>
          <a:endParaRPr lang="en-I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IE">
            <a:effectLst/>
          </a:endParaRPr>
        </a:p>
        <a:p>
          <a:endParaRPr lang="en-IE" sz="1100"/>
        </a:p>
      </xdr:txBody>
    </xdr:sp>
    <xdr:clientData/>
  </xdr:twoCellAnchor>
  <xdr:twoCellAnchor>
    <xdr:from>
      <xdr:col>4</xdr:col>
      <xdr:colOff>105833</xdr:colOff>
      <xdr:row>45</xdr:row>
      <xdr:rowOff>0</xdr:rowOff>
    </xdr:from>
    <xdr:to>
      <xdr:col>11</xdr:col>
      <xdr:colOff>582083</xdr:colOff>
      <xdr:row>48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085416" y="6275917"/>
          <a:ext cx="477308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Calculation are done off a base price of 32c/ltr and adjusted for the fat and protein</a:t>
          </a:r>
          <a:r>
            <a:rPr lang="en-IE" sz="1100" baseline="0"/>
            <a:t> levels inputted above</a:t>
          </a:r>
          <a:endParaRPr lang="en-IE" sz="1100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2388870</xdr:colOff>
      <xdr:row>7</xdr:row>
      <xdr:rowOff>63500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388869" cy="1396999"/>
        </a:xfrm>
        <a:prstGeom prst="rect">
          <a:avLst/>
        </a:prstGeom>
      </xdr:spPr>
    </xdr:pic>
    <xdr:clientData/>
  </xdr:twoCellAnchor>
  <xdr:twoCellAnchor editAs="oneCell">
    <xdr:from>
      <xdr:col>7</xdr:col>
      <xdr:colOff>74045</xdr:colOff>
      <xdr:row>0</xdr:row>
      <xdr:rowOff>0</xdr:rowOff>
    </xdr:from>
    <xdr:to>
      <xdr:col>12</xdr:col>
      <xdr:colOff>10583</xdr:colOff>
      <xdr:row>7</xdr:row>
      <xdr:rowOff>158750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5128" y="0"/>
          <a:ext cx="3005705" cy="1492250"/>
        </a:xfrm>
        <a:prstGeom prst="rect">
          <a:avLst/>
        </a:prstGeom>
      </xdr:spPr>
    </xdr:pic>
    <xdr:clientData/>
  </xdr:twoCellAnchor>
  <xdr:twoCellAnchor>
    <xdr:from>
      <xdr:col>0</xdr:col>
      <xdr:colOff>2360083</xdr:colOff>
      <xdr:row>0</xdr:row>
      <xdr:rowOff>21167</xdr:rowOff>
    </xdr:from>
    <xdr:to>
      <xdr:col>7</xdr:col>
      <xdr:colOff>116417</xdr:colOff>
      <xdr:row>7</xdr:row>
      <xdr:rowOff>127000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360083" y="21167"/>
          <a:ext cx="5577417" cy="1439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IE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fill in the "white" boxes below to calculate your farms potential to conserve grass silage from the 1st of August to year end</a:t>
          </a:r>
          <a:endParaRPr lang="en-IE" sz="2000">
            <a:solidFill>
              <a:srgbClr val="FF0000"/>
            </a:solidFill>
            <a:effectLst/>
          </a:endParaRPr>
        </a:p>
        <a:p>
          <a:endParaRPr lang="en-IE" sz="1100"/>
        </a:p>
      </xdr:txBody>
    </xdr:sp>
    <xdr:clientData/>
  </xdr:twoCellAnchor>
  <xdr:twoCellAnchor>
    <xdr:from>
      <xdr:col>2</xdr:col>
      <xdr:colOff>190500</xdr:colOff>
      <xdr:row>51</xdr:row>
      <xdr:rowOff>11906</xdr:rowOff>
    </xdr:from>
    <xdr:to>
      <xdr:col>11</xdr:col>
      <xdr:colOff>547688</xdr:colOff>
      <xdr:row>54</xdr:row>
      <xdr:rowOff>-1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191250" y="7453312"/>
          <a:ext cx="608409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/>
            <a:t>Maize silage and wholecrop</a:t>
          </a:r>
          <a:r>
            <a:rPr lang="en-IE" sz="1100" baseline="0"/>
            <a:t>  purchased in from the field will lower your requirement to feed extra concentates to your cows  from August to October.   </a:t>
          </a:r>
          <a:endParaRPr lang="en-I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44" workbookViewId="0">
      <selection activeCell="F65" sqref="F65"/>
    </sheetView>
  </sheetViews>
  <sheetFormatPr defaultRowHeight="15" x14ac:dyDescent="0.25"/>
  <cols>
    <col min="1" max="1" width="43.85546875" bestFit="1" customWidth="1"/>
    <col min="2" max="2" width="10.85546875" bestFit="1" customWidth="1"/>
    <col min="3" max="3" width="11" bestFit="1" customWidth="1"/>
    <col min="4" max="4" width="8.5703125" bestFit="1" customWidth="1"/>
    <col min="5" max="5" width="16.5703125" bestFit="1" customWidth="1"/>
    <col min="6" max="6" width="9.5703125" bestFit="1" customWidth="1"/>
    <col min="11" max="11" width="20.7109375" bestFit="1" customWidth="1"/>
    <col min="13" max="13" width="10.85546875" bestFit="1" customWidth="1"/>
    <col min="14" max="14" width="8.140625" bestFit="1" customWidth="1"/>
    <col min="15" max="15" width="10.42578125" bestFit="1" customWidth="1"/>
  </cols>
  <sheetData>
    <row r="1" spans="1:15" x14ac:dyDescent="0.25">
      <c r="B1" s="2" t="s">
        <v>4</v>
      </c>
      <c r="C1" s="2"/>
      <c r="D1" s="2"/>
      <c r="E1" s="2"/>
      <c r="F1" s="2"/>
      <c r="L1" t="s">
        <v>4</v>
      </c>
      <c r="M1" t="s">
        <v>1</v>
      </c>
      <c r="N1" t="s">
        <v>2</v>
      </c>
      <c r="O1" t="s">
        <v>3</v>
      </c>
    </row>
    <row r="2" spans="1:15" x14ac:dyDescent="0.25">
      <c r="A2" t="s">
        <v>6</v>
      </c>
      <c r="B2" s="2">
        <f>L2</f>
        <v>80</v>
      </c>
      <c r="C2" s="2"/>
      <c r="D2" s="2"/>
      <c r="E2" s="2"/>
      <c r="F2" s="2"/>
      <c r="K2" t="s">
        <v>20</v>
      </c>
      <c r="L2" s="2">
        <v>80</v>
      </c>
      <c r="M2" s="2">
        <v>65</v>
      </c>
      <c r="N2" s="2">
        <v>30</v>
      </c>
      <c r="O2" s="2">
        <v>30</v>
      </c>
    </row>
    <row r="3" spans="1:15" x14ac:dyDescent="0.25">
      <c r="A3" t="s">
        <v>18</v>
      </c>
      <c r="B3" s="2">
        <f>L3</f>
        <v>200</v>
      </c>
      <c r="C3" s="2"/>
      <c r="D3" s="2"/>
      <c r="E3" s="2"/>
      <c r="F3" s="2"/>
      <c r="K3" t="s">
        <v>7</v>
      </c>
      <c r="L3" s="2">
        <v>200</v>
      </c>
      <c r="M3" s="2">
        <v>800</v>
      </c>
      <c r="N3" s="2">
        <v>1100</v>
      </c>
      <c r="O3" s="2">
        <v>450</v>
      </c>
    </row>
    <row r="4" spans="1:15" x14ac:dyDescent="0.25">
      <c r="B4" s="2"/>
      <c r="C4" s="2"/>
      <c r="D4" s="2"/>
      <c r="E4" s="2"/>
      <c r="F4" s="2"/>
      <c r="K4" t="s">
        <v>19</v>
      </c>
      <c r="L4" s="2">
        <v>800</v>
      </c>
      <c r="M4" s="2">
        <v>1100</v>
      </c>
      <c r="N4" s="2">
        <v>450</v>
      </c>
      <c r="O4" s="2">
        <v>450</v>
      </c>
    </row>
    <row r="5" spans="1:15" x14ac:dyDescent="0.25">
      <c r="A5" t="s">
        <v>8</v>
      </c>
      <c r="B5" s="2"/>
      <c r="C5" s="2"/>
      <c r="D5" s="2"/>
      <c r="E5" s="2"/>
      <c r="F5" s="2" t="s">
        <v>35</v>
      </c>
      <c r="G5" t="s">
        <v>36</v>
      </c>
      <c r="K5" t="s">
        <v>21</v>
      </c>
      <c r="L5" s="2">
        <f>L4-L3</f>
        <v>600</v>
      </c>
      <c r="M5" s="2">
        <f t="shared" ref="M5:O5" si="0">M4-M3</f>
        <v>300</v>
      </c>
      <c r="N5" s="2">
        <f t="shared" si="0"/>
        <v>-650</v>
      </c>
      <c r="O5" s="2">
        <f t="shared" si="0"/>
        <v>0</v>
      </c>
    </row>
    <row r="6" spans="1:15" x14ac:dyDescent="0.25">
      <c r="A6" t="s">
        <v>11</v>
      </c>
      <c r="B6" s="2">
        <v>17</v>
      </c>
      <c r="C6" s="2"/>
      <c r="D6" s="2"/>
      <c r="E6" s="2" t="s">
        <v>32</v>
      </c>
      <c r="F6" s="2">
        <f>L6*L7</f>
        <v>7</v>
      </c>
      <c r="G6">
        <f>F6*30</f>
        <v>210</v>
      </c>
      <c r="K6" t="s">
        <v>30</v>
      </c>
      <c r="L6" s="2">
        <v>20</v>
      </c>
      <c r="M6" s="2">
        <v>18</v>
      </c>
      <c r="N6" s="2">
        <v>16</v>
      </c>
      <c r="O6" s="2">
        <v>14</v>
      </c>
    </row>
    <row r="7" spans="1:15" x14ac:dyDescent="0.25">
      <c r="A7" t="s">
        <v>9</v>
      </c>
      <c r="B7" s="4">
        <f>B6-((B8*0.86)+(B9*0.88))</f>
        <v>10.47</v>
      </c>
      <c r="C7" s="2">
        <f>B7*L9</f>
        <v>1.5705</v>
      </c>
      <c r="D7" s="2"/>
      <c r="E7" s="2" t="s">
        <v>33</v>
      </c>
      <c r="F7" s="5">
        <f>SUM(C7:C9)</f>
        <v>3.3879999999999999</v>
      </c>
      <c r="G7" s="1">
        <f t="shared" ref="G7:G8" si="1">F7*30</f>
        <v>101.64</v>
      </c>
      <c r="K7" t="s">
        <v>31</v>
      </c>
      <c r="L7" s="2">
        <v>0.35</v>
      </c>
      <c r="M7" s="2">
        <v>0.38</v>
      </c>
      <c r="N7" s="2">
        <v>0.4</v>
      </c>
      <c r="O7" s="2">
        <v>0.42</v>
      </c>
    </row>
    <row r="8" spans="1:15" x14ac:dyDescent="0.25">
      <c r="A8" t="s">
        <v>5</v>
      </c>
      <c r="B8" s="2">
        <v>3.5</v>
      </c>
      <c r="C8" s="2">
        <f t="shared" ref="C8:C9" si="2">B8*L10</f>
        <v>0.71749999999999992</v>
      </c>
      <c r="D8" s="2"/>
      <c r="E8" s="2" t="s">
        <v>34</v>
      </c>
      <c r="F8" s="5">
        <f>F6-F7</f>
        <v>3.6120000000000001</v>
      </c>
      <c r="G8" s="1">
        <f t="shared" si="1"/>
        <v>108.36</v>
      </c>
    </row>
    <row r="9" spans="1:15" x14ac:dyDescent="0.25">
      <c r="A9" t="s">
        <v>10</v>
      </c>
      <c r="B9" s="2">
        <v>4</v>
      </c>
      <c r="C9" s="2">
        <f t="shared" si="2"/>
        <v>1.1000000000000001</v>
      </c>
      <c r="D9" s="2"/>
      <c r="E9" s="2"/>
      <c r="F9" s="2"/>
      <c r="K9" t="s">
        <v>27</v>
      </c>
      <c r="L9" s="2">
        <v>0.15</v>
      </c>
    </row>
    <row r="10" spans="1:15" x14ac:dyDescent="0.25">
      <c r="B10" s="2"/>
      <c r="C10" s="2"/>
      <c r="D10" s="2"/>
      <c r="E10" s="2"/>
      <c r="F10" s="2"/>
      <c r="K10" t="s">
        <v>28</v>
      </c>
      <c r="L10" s="2">
        <v>0.20499999999999999</v>
      </c>
    </row>
    <row r="11" spans="1:15" x14ac:dyDescent="0.25">
      <c r="A11" t="s">
        <v>0</v>
      </c>
      <c r="B11" s="2">
        <v>2</v>
      </c>
      <c r="C11" s="2">
        <v>2.5</v>
      </c>
      <c r="D11" s="2">
        <v>3</v>
      </c>
      <c r="E11" s="2">
        <v>3.5</v>
      </c>
      <c r="F11" s="2">
        <v>4</v>
      </c>
      <c r="K11" t="s">
        <v>29</v>
      </c>
      <c r="L11" s="2">
        <v>0.27500000000000002</v>
      </c>
    </row>
    <row r="12" spans="1:15" x14ac:dyDescent="0.25">
      <c r="B12" s="3">
        <f>B11*$B$7</f>
        <v>20.94</v>
      </c>
      <c r="C12" s="3">
        <f t="shared" ref="C12:F12" si="3">C11*$B$7</f>
        <v>26.175000000000001</v>
      </c>
      <c r="D12" s="3">
        <f t="shared" si="3"/>
        <v>31.410000000000004</v>
      </c>
      <c r="E12" s="3">
        <f t="shared" si="3"/>
        <v>36.645000000000003</v>
      </c>
      <c r="F12" s="3">
        <f t="shared" si="3"/>
        <v>41.88</v>
      </c>
    </row>
    <row r="13" spans="1:15" x14ac:dyDescent="0.25">
      <c r="A13" t="s">
        <v>12</v>
      </c>
      <c r="B13" s="3">
        <f>$B$2-B12</f>
        <v>59.06</v>
      </c>
      <c r="C13" s="3">
        <f t="shared" ref="C13:F13" si="4">$B$2-C12</f>
        <v>53.825000000000003</v>
      </c>
      <c r="D13" s="3">
        <f t="shared" si="4"/>
        <v>48.589999999999996</v>
      </c>
      <c r="E13" s="3">
        <f t="shared" si="4"/>
        <v>43.354999999999997</v>
      </c>
      <c r="F13" s="3">
        <f t="shared" si="4"/>
        <v>38.119999999999997</v>
      </c>
    </row>
    <row r="14" spans="1:15" x14ac:dyDescent="0.25">
      <c r="A14" t="s">
        <v>13</v>
      </c>
      <c r="B14" s="3">
        <f>B13*30</f>
        <v>1771.8000000000002</v>
      </c>
      <c r="C14" s="3">
        <f t="shared" ref="C14:F14" si="5">C13*30</f>
        <v>1614.75</v>
      </c>
      <c r="D14" s="3">
        <f t="shared" si="5"/>
        <v>1457.6999999999998</v>
      </c>
      <c r="E14" s="3">
        <f t="shared" si="5"/>
        <v>1300.6499999999999</v>
      </c>
      <c r="F14" s="3">
        <f t="shared" si="5"/>
        <v>1143.5999999999999</v>
      </c>
    </row>
    <row r="15" spans="1:15" x14ac:dyDescent="0.25">
      <c r="A15" t="s">
        <v>14</v>
      </c>
      <c r="B15" s="2">
        <f>L5</f>
        <v>600</v>
      </c>
      <c r="C15" s="2"/>
      <c r="D15" s="2"/>
      <c r="E15" s="2"/>
      <c r="F15" s="2"/>
    </row>
    <row r="16" spans="1:15" x14ac:dyDescent="0.25">
      <c r="B16" s="2"/>
      <c r="C16" s="2"/>
      <c r="D16" s="2"/>
      <c r="E16" s="2"/>
      <c r="F16" s="2"/>
    </row>
    <row r="17" spans="1:7" x14ac:dyDescent="0.25">
      <c r="A17" t="s">
        <v>16</v>
      </c>
      <c r="B17" s="2">
        <v>50</v>
      </c>
      <c r="C17" s="2">
        <v>75</v>
      </c>
      <c r="D17" s="2">
        <v>100</v>
      </c>
      <c r="E17" s="2">
        <v>150</v>
      </c>
      <c r="F17" s="2">
        <v>200</v>
      </c>
    </row>
    <row r="18" spans="1:7" x14ac:dyDescent="0.25">
      <c r="A18" t="s">
        <v>17</v>
      </c>
      <c r="B18" s="3">
        <f>B17*2.471</f>
        <v>123.55000000000001</v>
      </c>
      <c r="C18" s="3">
        <f t="shared" ref="C18:F18" si="6">C17*2.471</f>
        <v>185.32500000000002</v>
      </c>
      <c r="D18" s="3">
        <f t="shared" si="6"/>
        <v>247.10000000000002</v>
      </c>
      <c r="E18" s="3">
        <f t="shared" si="6"/>
        <v>370.65000000000003</v>
      </c>
      <c r="F18" s="3">
        <f t="shared" si="6"/>
        <v>494.20000000000005</v>
      </c>
    </row>
    <row r="19" spans="1:7" x14ac:dyDescent="0.25">
      <c r="A19" t="s">
        <v>15</v>
      </c>
      <c r="B19" s="3">
        <f>((B14-$B$15)*B17)/220</f>
        <v>266.31818181818187</v>
      </c>
      <c r="C19" s="3">
        <f t="shared" ref="C19:F19" si="7">((C14-$B$15)*C17)/220</f>
        <v>345.9375</v>
      </c>
      <c r="D19" s="3">
        <f t="shared" si="7"/>
        <v>389.86363636363632</v>
      </c>
      <c r="E19" s="3">
        <f t="shared" si="7"/>
        <v>477.71590909090901</v>
      </c>
      <c r="F19" s="3">
        <f t="shared" si="7"/>
        <v>494.18181818181813</v>
      </c>
    </row>
    <row r="20" spans="1:7" x14ac:dyDescent="0.25">
      <c r="A20" t="s">
        <v>23</v>
      </c>
      <c r="B20" s="3">
        <f>(B19/2)/3</f>
        <v>44.386363636363647</v>
      </c>
      <c r="C20" s="3">
        <f t="shared" ref="C20:F20" si="8">(C19/2)/3</f>
        <v>57.65625</v>
      </c>
      <c r="D20" s="3">
        <f t="shared" si="8"/>
        <v>64.97727272727272</v>
      </c>
      <c r="E20" s="3">
        <f t="shared" si="8"/>
        <v>79.619318181818173</v>
      </c>
      <c r="F20" s="3">
        <f t="shared" si="8"/>
        <v>82.36363636363636</v>
      </c>
    </row>
    <row r="21" spans="1:7" x14ac:dyDescent="0.25">
      <c r="A21" t="s">
        <v>24</v>
      </c>
      <c r="B21" s="3">
        <f>(B19/2)/4</f>
        <v>33.289772727272734</v>
      </c>
      <c r="C21" s="3">
        <f t="shared" ref="C21:F21" si="9">(C19/2)/4</f>
        <v>43.2421875</v>
      </c>
      <c r="D21" s="3">
        <f>(D19/2)/4</f>
        <v>48.73295454545454</v>
      </c>
      <c r="E21" s="3">
        <f t="shared" si="9"/>
        <v>59.714488636363626</v>
      </c>
      <c r="F21" s="3">
        <f t="shared" si="9"/>
        <v>61.772727272727266</v>
      </c>
    </row>
    <row r="22" spans="1:7" x14ac:dyDescent="0.25">
      <c r="A22" t="s">
        <v>22</v>
      </c>
      <c r="B22" s="3">
        <f>(B19/2)/5</f>
        <v>26.631818181818186</v>
      </c>
      <c r="C22" s="3">
        <f>(C19/2)/5</f>
        <v>34.59375</v>
      </c>
      <c r="D22" s="3">
        <f>(D19/2)/5</f>
        <v>38.986363636363635</v>
      </c>
      <c r="E22" s="3">
        <f>(E19/2)/5</f>
        <v>47.771590909090904</v>
      </c>
      <c r="F22" s="3">
        <f>(F19/2)/5</f>
        <v>49.418181818181814</v>
      </c>
    </row>
    <row r="23" spans="1:7" x14ac:dyDescent="0.25">
      <c r="B23" s="2"/>
      <c r="C23" s="2"/>
      <c r="D23" s="2"/>
      <c r="E23" s="2"/>
      <c r="F23" s="2"/>
    </row>
    <row r="24" spans="1:7" x14ac:dyDescent="0.25">
      <c r="B24" s="2" t="s">
        <v>1</v>
      </c>
      <c r="C24" s="2"/>
      <c r="D24" s="2"/>
      <c r="E24" s="2"/>
      <c r="F24" s="2"/>
    </row>
    <row r="25" spans="1:7" x14ac:dyDescent="0.25">
      <c r="A25" t="s">
        <v>6</v>
      </c>
      <c r="B25" s="2">
        <f>M2</f>
        <v>65</v>
      </c>
      <c r="C25" s="2"/>
      <c r="D25" s="2"/>
      <c r="E25" s="2"/>
      <c r="F25" s="2"/>
    </row>
    <row r="26" spans="1:7" x14ac:dyDescent="0.25">
      <c r="A26" t="s">
        <v>18</v>
      </c>
      <c r="B26" s="2">
        <f>M3</f>
        <v>800</v>
      </c>
      <c r="C26" s="2"/>
      <c r="D26" s="2"/>
      <c r="E26" s="2"/>
      <c r="F26" s="2"/>
    </row>
    <row r="27" spans="1:7" x14ac:dyDescent="0.25">
      <c r="B27" s="2"/>
      <c r="C27" s="2"/>
      <c r="D27" s="2"/>
      <c r="E27" s="2"/>
      <c r="F27" s="2"/>
    </row>
    <row r="28" spans="1:7" x14ac:dyDescent="0.25">
      <c r="A28" t="s">
        <v>8</v>
      </c>
      <c r="B28" s="2"/>
      <c r="C28" s="2"/>
      <c r="D28" s="2"/>
      <c r="E28" s="2"/>
      <c r="F28" s="2" t="s">
        <v>35</v>
      </c>
      <c r="G28" t="s">
        <v>36</v>
      </c>
    </row>
    <row r="29" spans="1:7" x14ac:dyDescent="0.25">
      <c r="A29" t="s">
        <v>11</v>
      </c>
      <c r="B29" s="2">
        <v>16</v>
      </c>
      <c r="C29" s="2"/>
      <c r="D29" s="2"/>
      <c r="E29" s="2" t="s">
        <v>32</v>
      </c>
      <c r="F29" s="2">
        <f>M6*M7</f>
        <v>6.84</v>
      </c>
      <c r="G29" s="1">
        <f>F29*30</f>
        <v>205.2</v>
      </c>
    </row>
    <row r="30" spans="1:7" x14ac:dyDescent="0.25">
      <c r="A30" t="s">
        <v>9</v>
      </c>
      <c r="B30" s="4">
        <f>B29-((B31*0.86)+(B32*0.88))</f>
        <v>9.4700000000000006</v>
      </c>
      <c r="C30" s="2">
        <f>B30*L9</f>
        <v>1.4205000000000001</v>
      </c>
      <c r="D30" s="2"/>
      <c r="E30" s="2" t="s">
        <v>33</v>
      </c>
      <c r="F30" s="5">
        <f>SUM(C30:C32)</f>
        <v>3.238</v>
      </c>
      <c r="G30" s="1">
        <f t="shared" ref="G30:G31" si="10">F30*30</f>
        <v>97.14</v>
      </c>
    </row>
    <row r="31" spans="1:7" x14ac:dyDescent="0.25">
      <c r="A31" t="s">
        <v>5</v>
      </c>
      <c r="B31" s="2">
        <v>3.5</v>
      </c>
      <c r="C31" s="2">
        <f t="shared" ref="C31:C32" si="11">B31*L10</f>
        <v>0.71749999999999992</v>
      </c>
      <c r="D31" s="2"/>
      <c r="E31" s="2" t="s">
        <v>34</v>
      </c>
      <c r="F31" s="5">
        <f>F29-F30</f>
        <v>3.6019999999999999</v>
      </c>
      <c r="G31" s="1">
        <f t="shared" si="10"/>
        <v>108.06</v>
      </c>
    </row>
    <row r="32" spans="1:7" x14ac:dyDescent="0.25">
      <c r="A32" t="s">
        <v>10</v>
      </c>
      <c r="B32" s="2">
        <v>4</v>
      </c>
      <c r="C32" s="2">
        <f t="shared" si="11"/>
        <v>1.1000000000000001</v>
      </c>
      <c r="D32" s="2"/>
      <c r="E32" s="2"/>
      <c r="F32" s="2"/>
    </row>
    <row r="33" spans="1:6" x14ac:dyDescent="0.25">
      <c r="B33" s="2"/>
      <c r="C33" s="2"/>
      <c r="D33" s="2"/>
      <c r="E33" s="2"/>
      <c r="F33" s="2"/>
    </row>
    <row r="34" spans="1:6" x14ac:dyDescent="0.25">
      <c r="A34" t="s">
        <v>0</v>
      </c>
      <c r="B34" s="2">
        <v>2</v>
      </c>
      <c r="C34" s="2">
        <v>2.5</v>
      </c>
      <c r="D34" s="2">
        <v>3</v>
      </c>
      <c r="E34" s="2">
        <v>3.5</v>
      </c>
      <c r="F34" s="2">
        <v>4</v>
      </c>
    </row>
    <row r="35" spans="1:6" x14ac:dyDescent="0.25">
      <c r="A35" t="s">
        <v>26</v>
      </c>
      <c r="B35" s="3">
        <f>B34*$B$30</f>
        <v>18.940000000000001</v>
      </c>
      <c r="C35" s="3">
        <f t="shared" ref="C35:F35" si="12">C34*$B$30</f>
        <v>23.675000000000001</v>
      </c>
      <c r="D35" s="3">
        <f t="shared" si="12"/>
        <v>28.410000000000004</v>
      </c>
      <c r="E35" s="3">
        <f t="shared" si="12"/>
        <v>33.145000000000003</v>
      </c>
      <c r="F35" s="3">
        <f t="shared" si="12"/>
        <v>37.880000000000003</v>
      </c>
    </row>
    <row r="36" spans="1:6" x14ac:dyDescent="0.25">
      <c r="A36" t="s">
        <v>12</v>
      </c>
      <c r="B36" s="3">
        <f>$B$2-B35</f>
        <v>61.06</v>
      </c>
      <c r="C36" s="3">
        <f t="shared" ref="C36" si="13">$B$2-C35</f>
        <v>56.325000000000003</v>
      </c>
      <c r="D36" s="3">
        <f t="shared" ref="D36" si="14">$B$2-D35</f>
        <v>51.589999999999996</v>
      </c>
      <c r="E36" s="3">
        <f t="shared" ref="E36" si="15">$B$2-E35</f>
        <v>46.854999999999997</v>
      </c>
      <c r="F36" s="3">
        <f t="shared" ref="F36" si="16">$B$2-F35</f>
        <v>42.12</v>
      </c>
    </row>
    <row r="37" spans="1:6" x14ac:dyDescent="0.25">
      <c r="A37" t="s">
        <v>13</v>
      </c>
      <c r="B37" s="3">
        <f>B36*30</f>
        <v>1831.8000000000002</v>
      </c>
      <c r="C37" s="3">
        <f t="shared" ref="C37" si="17">C36*30</f>
        <v>1689.75</v>
      </c>
      <c r="D37" s="3">
        <f t="shared" ref="D37" si="18">D36*30</f>
        <v>1547.6999999999998</v>
      </c>
      <c r="E37" s="3">
        <f t="shared" ref="E37" si="19">E36*30</f>
        <v>1405.6499999999999</v>
      </c>
      <c r="F37" s="3">
        <f t="shared" ref="F37" si="20">F36*30</f>
        <v>1263.5999999999999</v>
      </c>
    </row>
    <row r="38" spans="1:6" x14ac:dyDescent="0.25">
      <c r="A38" t="s">
        <v>14</v>
      </c>
      <c r="B38" s="2">
        <f>M5</f>
        <v>300</v>
      </c>
      <c r="C38" s="2"/>
      <c r="D38" s="2"/>
      <c r="E38" s="2"/>
      <c r="F38" s="2"/>
    </row>
    <row r="39" spans="1:6" x14ac:dyDescent="0.25">
      <c r="B39" s="2"/>
      <c r="C39" s="2"/>
      <c r="D39" s="2"/>
      <c r="E39" s="2"/>
      <c r="F39" s="2"/>
    </row>
    <row r="40" spans="1:6" x14ac:dyDescent="0.25">
      <c r="A40" t="s">
        <v>16</v>
      </c>
      <c r="B40" s="2">
        <v>50</v>
      </c>
      <c r="C40" s="2">
        <v>75</v>
      </c>
      <c r="D40" s="2">
        <v>100</v>
      </c>
      <c r="E40" s="2">
        <v>150</v>
      </c>
      <c r="F40" s="2">
        <v>200</v>
      </c>
    </row>
    <row r="41" spans="1:6" x14ac:dyDescent="0.25">
      <c r="A41" t="s">
        <v>17</v>
      </c>
      <c r="B41" s="3">
        <f>B40*2.471</f>
        <v>123.55000000000001</v>
      </c>
      <c r="C41" s="3">
        <f t="shared" ref="C41" si="21">C40*2.471</f>
        <v>185.32500000000002</v>
      </c>
      <c r="D41" s="3">
        <f t="shared" ref="D41" si="22">D40*2.471</f>
        <v>247.10000000000002</v>
      </c>
      <c r="E41" s="3">
        <f t="shared" ref="E41" si="23">E40*2.471</f>
        <v>370.65000000000003</v>
      </c>
      <c r="F41" s="3">
        <f t="shared" ref="F41" si="24">F40*2.471</f>
        <v>494.20000000000005</v>
      </c>
    </row>
    <row r="42" spans="1:6" x14ac:dyDescent="0.25">
      <c r="A42" t="s">
        <v>15</v>
      </c>
      <c r="B42" s="3">
        <f>((B37-$B$38)*B40)/220</f>
        <v>348.13636363636368</v>
      </c>
      <c r="C42" s="3">
        <f t="shared" ref="C42:F42" si="25">((C37-$B$38)*C40)/220</f>
        <v>473.77840909090907</v>
      </c>
      <c r="D42" s="3">
        <f t="shared" si="25"/>
        <v>567.13636363636363</v>
      </c>
      <c r="E42" s="3">
        <f t="shared" si="25"/>
        <v>753.85227272727263</v>
      </c>
      <c r="F42" s="3">
        <f t="shared" si="25"/>
        <v>875.99999999999989</v>
      </c>
    </row>
    <row r="43" spans="1:6" x14ac:dyDescent="0.25">
      <c r="A43" t="s">
        <v>23</v>
      </c>
      <c r="B43" s="3">
        <f>(B42/2)/3</f>
        <v>58.02272727272728</v>
      </c>
      <c r="C43" s="3">
        <f t="shared" ref="C43" si="26">(C42/2)/3</f>
        <v>78.963068181818173</v>
      </c>
      <c r="D43" s="3">
        <f t="shared" ref="D43" si="27">(D42/2)/3</f>
        <v>94.522727272727266</v>
      </c>
      <c r="E43" s="3">
        <f t="shared" ref="E43" si="28">(E42/2)/3</f>
        <v>125.64204545454544</v>
      </c>
      <c r="F43" s="3">
        <f t="shared" ref="F43" si="29">(F42/2)/3</f>
        <v>145.99999999999997</v>
      </c>
    </row>
    <row r="44" spans="1:6" x14ac:dyDescent="0.25">
      <c r="A44" t="s">
        <v>24</v>
      </c>
      <c r="B44" s="3">
        <f>(B42/2)/4</f>
        <v>43.51704545454546</v>
      </c>
      <c r="C44" s="3">
        <f t="shared" ref="C44:F44" si="30">(C42/2)/4</f>
        <v>59.222301136363633</v>
      </c>
      <c r="D44" s="3">
        <f t="shared" si="30"/>
        <v>70.892045454545453</v>
      </c>
      <c r="E44" s="3">
        <f t="shared" si="30"/>
        <v>94.231534090909079</v>
      </c>
      <c r="F44" s="3">
        <f t="shared" si="30"/>
        <v>109.49999999999999</v>
      </c>
    </row>
    <row r="45" spans="1:6" x14ac:dyDescent="0.25">
      <c r="A45" t="s">
        <v>22</v>
      </c>
      <c r="B45" s="3">
        <f>(B42/2)/5</f>
        <v>34.81363636363637</v>
      </c>
      <c r="C45" s="3">
        <f>(C42/2)/5</f>
        <v>47.377840909090907</v>
      </c>
      <c r="D45" s="3">
        <f>(D42/2)/5</f>
        <v>56.713636363636361</v>
      </c>
      <c r="E45" s="3">
        <f>(E42/2)/5</f>
        <v>75.385227272727263</v>
      </c>
      <c r="F45" s="3">
        <f>(F42/2)/5</f>
        <v>87.6</v>
      </c>
    </row>
    <row r="46" spans="1:6" x14ac:dyDescent="0.25">
      <c r="B46" s="3"/>
      <c r="C46" s="3"/>
      <c r="D46" s="3"/>
      <c r="E46" s="3"/>
      <c r="F46" s="3"/>
    </row>
    <row r="47" spans="1:6" x14ac:dyDescent="0.25">
      <c r="B47" s="2" t="s">
        <v>2</v>
      </c>
      <c r="C47" s="2"/>
      <c r="D47" s="2"/>
      <c r="E47" s="2"/>
      <c r="F47" s="2"/>
    </row>
    <row r="48" spans="1:6" x14ac:dyDescent="0.25">
      <c r="A48" t="s">
        <v>6</v>
      </c>
      <c r="B48" s="2">
        <f>N2</f>
        <v>30</v>
      </c>
      <c r="C48" s="2"/>
      <c r="D48" s="2"/>
      <c r="E48" s="2"/>
      <c r="F48" s="2"/>
    </row>
    <row r="49" spans="1:7" x14ac:dyDescent="0.25">
      <c r="A49" t="s">
        <v>18</v>
      </c>
      <c r="B49" s="2">
        <f>N3</f>
        <v>1100</v>
      </c>
      <c r="C49" s="2"/>
      <c r="D49" s="2"/>
      <c r="E49" s="2"/>
      <c r="F49" s="2"/>
    </row>
    <row r="50" spans="1:7" x14ac:dyDescent="0.25">
      <c r="B50" s="2"/>
      <c r="C50" s="2"/>
      <c r="D50" s="2"/>
      <c r="E50" s="2"/>
      <c r="F50" s="2"/>
    </row>
    <row r="51" spans="1:7" x14ac:dyDescent="0.25">
      <c r="A51" t="s">
        <v>8</v>
      </c>
      <c r="B51" s="2"/>
      <c r="C51" s="2"/>
      <c r="D51" s="2"/>
      <c r="E51" s="2"/>
      <c r="F51" s="2"/>
      <c r="G51" t="s">
        <v>36</v>
      </c>
    </row>
    <row r="52" spans="1:7" x14ac:dyDescent="0.25">
      <c r="A52" t="s">
        <v>11</v>
      </c>
      <c r="B52" s="2">
        <v>15</v>
      </c>
      <c r="C52" s="2"/>
      <c r="D52" s="2"/>
      <c r="E52" s="2" t="s">
        <v>32</v>
      </c>
      <c r="F52" s="2">
        <f>N6*N7</f>
        <v>6.4</v>
      </c>
      <c r="G52">
        <f>F52*30</f>
        <v>192</v>
      </c>
    </row>
    <row r="53" spans="1:7" x14ac:dyDescent="0.25">
      <c r="A53" t="s">
        <v>9</v>
      </c>
      <c r="B53" s="4">
        <f>B52-((B54*0.86)+(B55*0.88))</f>
        <v>8.4700000000000006</v>
      </c>
      <c r="C53" s="2">
        <f>B53*L9</f>
        <v>1.2705</v>
      </c>
      <c r="D53" s="2"/>
      <c r="E53" s="2" t="s">
        <v>33</v>
      </c>
      <c r="F53" s="5">
        <f>SUM(C53:C55)</f>
        <v>3.0880000000000001</v>
      </c>
      <c r="G53" s="1">
        <f t="shared" ref="G53:G54" si="31">F53*30</f>
        <v>92.64</v>
      </c>
    </row>
    <row r="54" spans="1:7" x14ac:dyDescent="0.25">
      <c r="A54" t="s">
        <v>5</v>
      </c>
      <c r="B54" s="2">
        <v>3.5</v>
      </c>
      <c r="C54" s="2">
        <f t="shared" ref="C54:C55" si="32">B54*L10</f>
        <v>0.71749999999999992</v>
      </c>
      <c r="D54" s="2"/>
      <c r="E54" s="2" t="s">
        <v>34</v>
      </c>
      <c r="F54" s="5">
        <f>F52-F53</f>
        <v>3.3120000000000003</v>
      </c>
      <c r="G54" s="1">
        <f t="shared" si="31"/>
        <v>99.360000000000014</v>
      </c>
    </row>
    <row r="55" spans="1:7" x14ac:dyDescent="0.25">
      <c r="A55" t="s">
        <v>10</v>
      </c>
      <c r="B55" s="2">
        <v>4</v>
      </c>
      <c r="C55" s="2">
        <f t="shared" si="32"/>
        <v>1.1000000000000001</v>
      </c>
      <c r="D55" s="2"/>
      <c r="E55" s="2"/>
      <c r="F55" s="2"/>
    </row>
    <row r="56" spans="1:7" x14ac:dyDescent="0.25">
      <c r="B56" s="2"/>
      <c r="C56" s="2"/>
      <c r="D56" s="2"/>
      <c r="E56" s="2"/>
      <c r="F56" s="2"/>
    </row>
    <row r="57" spans="1:7" x14ac:dyDescent="0.25">
      <c r="A57" t="s">
        <v>0</v>
      </c>
      <c r="B57" s="2">
        <v>2</v>
      </c>
      <c r="C57" s="2">
        <v>2.5</v>
      </c>
      <c r="D57" s="2">
        <v>3</v>
      </c>
      <c r="E57" s="2">
        <v>3.5</v>
      </c>
      <c r="F57" s="2">
        <v>4</v>
      </c>
    </row>
    <row r="58" spans="1:7" x14ac:dyDescent="0.25">
      <c r="B58" s="3">
        <f>B57*$B$53</f>
        <v>16.940000000000001</v>
      </c>
      <c r="C58" s="3">
        <f t="shared" ref="C58:F58" si="33">C57*$B$53</f>
        <v>21.175000000000001</v>
      </c>
      <c r="D58" s="3">
        <f t="shared" si="33"/>
        <v>25.410000000000004</v>
      </c>
      <c r="E58" s="3">
        <f t="shared" si="33"/>
        <v>29.645000000000003</v>
      </c>
      <c r="F58" s="3">
        <f t="shared" si="33"/>
        <v>33.880000000000003</v>
      </c>
    </row>
    <row r="59" spans="1:7" x14ac:dyDescent="0.25">
      <c r="A59" t="s">
        <v>12</v>
      </c>
      <c r="B59" s="3">
        <f>$B$48-B58</f>
        <v>13.059999999999999</v>
      </c>
      <c r="C59" s="3">
        <f t="shared" ref="C59:F59" si="34">$B$48-C58</f>
        <v>8.8249999999999993</v>
      </c>
      <c r="D59" s="3">
        <f t="shared" si="34"/>
        <v>4.5899999999999963</v>
      </c>
      <c r="E59" s="3">
        <f t="shared" si="34"/>
        <v>0.35499999999999687</v>
      </c>
      <c r="F59" s="3">
        <f t="shared" si="34"/>
        <v>-3.8800000000000026</v>
      </c>
    </row>
    <row r="60" spans="1:7" x14ac:dyDescent="0.25">
      <c r="A60" t="s">
        <v>13</v>
      </c>
      <c r="B60" s="3">
        <f>B59*30</f>
        <v>391.79999999999995</v>
      </c>
      <c r="C60" s="3">
        <f t="shared" ref="C60" si="35">C59*30</f>
        <v>264.75</v>
      </c>
      <c r="D60" s="3">
        <f t="shared" ref="D60" si="36">D59*30</f>
        <v>137.69999999999987</v>
      </c>
      <c r="E60" s="3">
        <f t="shared" ref="E60" si="37">E59*30</f>
        <v>10.649999999999906</v>
      </c>
      <c r="F60" s="3">
        <f t="shared" ref="F60" si="38">F59*30</f>
        <v>-116.40000000000008</v>
      </c>
    </row>
    <row r="61" spans="1:7" x14ac:dyDescent="0.25">
      <c r="A61" t="s">
        <v>14</v>
      </c>
      <c r="B61" s="2">
        <f>N5</f>
        <v>-650</v>
      </c>
      <c r="C61" s="2"/>
      <c r="D61" s="2"/>
      <c r="E61" s="2"/>
      <c r="F61" s="2"/>
    </row>
    <row r="62" spans="1:7" x14ac:dyDescent="0.25">
      <c r="B62" s="2"/>
      <c r="C62" s="2"/>
      <c r="D62" s="2"/>
      <c r="E62" s="2"/>
      <c r="F62" s="2"/>
    </row>
    <row r="63" spans="1:7" x14ac:dyDescent="0.25">
      <c r="A63" t="s">
        <v>16</v>
      </c>
      <c r="B63" s="2">
        <v>50</v>
      </c>
      <c r="C63" s="2">
        <v>75</v>
      </c>
      <c r="D63" s="2">
        <v>100</v>
      </c>
      <c r="E63" s="2">
        <v>150</v>
      </c>
      <c r="F63" s="2">
        <v>200</v>
      </c>
    </row>
    <row r="64" spans="1:7" x14ac:dyDescent="0.25">
      <c r="A64" t="s">
        <v>17</v>
      </c>
      <c r="B64" s="3">
        <f>B63*2.471</f>
        <v>123.55000000000001</v>
      </c>
      <c r="C64" s="3">
        <f t="shared" ref="C64" si="39">C63*2.471</f>
        <v>185.32500000000002</v>
      </c>
      <c r="D64" s="3">
        <f t="shared" ref="D64" si="40">D63*2.471</f>
        <v>247.10000000000002</v>
      </c>
      <c r="E64" s="3">
        <f t="shared" ref="E64" si="41">E63*2.471</f>
        <v>370.65000000000003</v>
      </c>
      <c r="F64" s="3">
        <f>F63*2.471</f>
        <v>494.20000000000005</v>
      </c>
    </row>
    <row r="65" spans="1:6" x14ac:dyDescent="0.25">
      <c r="A65" t="s">
        <v>15</v>
      </c>
      <c r="B65" s="3">
        <f>((B60-$B$61)*B63)/220</f>
        <v>236.77272727272728</v>
      </c>
      <c r="C65" s="3">
        <f>((C60-$B$61)*C63)/220</f>
        <v>311.84659090909093</v>
      </c>
      <c r="D65" s="3">
        <f t="shared" ref="D65:F65" si="42">((D60-$B$61)*D63)/220</f>
        <v>358.0454545454545</v>
      </c>
      <c r="E65" s="3">
        <f t="shared" si="42"/>
        <v>450.44318181818176</v>
      </c>
      <c r="F65" s="3">
        <f t="shared" si="42"/>
        <v>485.09090909090901</v>
      </c>
    </row>
    <row r="66" spans="1:6" x14ac:dyDescent="0.25">
      <c r="A66" t="s">
        <v>23</v>
      </c>
      <c r="B66" s="3">
        <f>(B65/2)/3</f>
        <v>39.462121212121211</v>
      </c>
      <c r="C66" s="3">
        <f t="shared" ref="C66" si="43">(C65/2)/3</f>
        <v>51.97443181818182</v>
      </c>
      <c r="D66" s="3">
        <f t="shared" ref="D66" si="44">(D65/2)/3</f>
        <v>59.674242424242415</v>
      </c>
      <c r="E66" s="3">
        <f t="shared" ref="E66" si="45">(E65/2)/3</f>
        <v>75.073863636363626</v>
      </c>
      <c r="F66" s="3">
        <f t="shared" ref="F66" si="46">(F65/2)/3</f>
        <v>80.84848484848483</v>
      </c>
    </row>
    <row r="67" spans="1:6" x14ac:dyDescent="0.25">
      <c r="A67" t="s">
        <v>24</v>
      </c>
      <c r="B67" s="3">
        <f>(B65/2)/4</f>
        <v>29.59659090909091</v>
      </c>
      <c r="C67" s="3">
        <f t="shared" ref="C67:F67" si="47">(C65/2)/4</f>
        <v>38.980823863636367</v>
      </c>
      <c r="D67" s="3">
        <f t="shared" si="47"/>
        <v>44.755681818181813</v>
      </c>
      <c r="E67" s="3">
        <f t="shared" si="47"/>
        <v>56.30539772727272</v>
      </c>
      <c r="F67" s="3">
        <f t="shared" si="47"/>
        <v>60.636363636363626</v>
      </c>
    </row>
    <row r="68" spans="1:6" x14ac:dyDescent="0.25">
      <c r="A68" t="s">
        <v>22</v>
      </c>
      <c r="B68" s="3">
        <f>(B65/2)/5</f>
        <v>23.677272727272729</v>
      </c>
      <c r="C68" s="3">
        <f>(C65/2)/5</f>
        <v>31.184659090909093</v>
      </c>
      <c r="D68" s="3">
        <f>(D65/2)/5</f>
        <v>35.804545454545448</v>
      </c>
      <c r="E68" s="3">
        <f>(E65/2)/5</f>
        <v>45.044318181818177</v>
      </c>
      <c r="F68" s="3">
        <f>(F65/2)/5</f>
        <v>48.509090909090901</v>
      </c>
    </row>
    <row r="69" spans="1:6" x14ac:dyDescent="0.25">
      <c r="B69" s="2"/>
      <c r="C69" s="2"/>
      <c r="D69" s="2"/>
      <c r="E69" s="2"/>
      <c r="F69" s="2"/>
    </row>
    <row r="70" spans="1:6" x14ac:dyDescent="0.25">
      <c r="A70" t="s">
        <v>25</v>
      </c>
      <c r="B70" s="3">
        <f>B65+B42+B19</f>
        <v>851.22727272727286</v>
      </c>
      <c r="C70" s="3">
        <f>C65+C42+C19</f>
        <v>1131.5625</v>
      </c>
      <c r="D70" s="3">
        <f>D65+D42+D19</f>
        <v>1315.0454545454545</v>
      </c>
      <c r="E70" s="3">
        <f>E65+E42+E19</f>
        <v>1682.0113636363635</v>
      </c>
      <c r="F70" s="3">
        <f>F65+F42+F19</f>
        <v>1855.272727272727</v>
      </c>
    </row>
    <row r="71" spans="1:6" x14ac:dyDescent="0.25">
      <c r="B71" s="2"/>
      <c r="C71" s="2"/>
      <c r="D71" s="2"/>
      <c r="E71" s="2"/>
      <c r="F71" s="2"/>
    </row>
    <row r="72" spans="1:6" x14ac:dyDescent="0.25">
      <c r="A72" t="s">
        <v>23</v>
      </c>
      <c r="B72" s="3">
        <f>B66+B43+B20</f>
        <v>141.87121212121215</v>
      </c>
      <c r="C72" s="3">
        <f t="shared" ref="C72:F72" si="48">C66+C43+C20</f>
        <v>188.59375</v>
      </c>
      <c r="D72" s="3">
        <f t="shared" si="48"/>
        <v>219.17424242424241</v>
      </c>
      <c r="E72" s="3">
        <f t="shared" si="48"/>
        <v>280.33522727272725</v>
      </c>
      <c r="F72" s="3">
        <f t="shared" si="48"/>
        <v>309.21212121212119</v>
      </c>
    </row>
    <row r="73" spans="1:6" x14ac:dyDescent="0.25">
      <c r="A73" t="s">
        <v>24</v>
      </c>
      <c r="B73" s="3">
        <f t="shared" ref="B73:F74" si="49">B67+B44+B21</f>
        <v>106.40340909090911</v>
      </c>
      <c r="C73" s="3">
        <f t="shared" si="49"/>
        <v>141.4453125</v>
      </c>
      <c r="D73" s="3">
        <f t="shared" si="49"/>
        <v>164.38068181818181</v>
      </c>
      <c r="E73" s="3">
        <f t="shared" si="49"/>
        <v>210.25142045454544</v>
      </c>
      <c r="F73" s="3">
        <f t="shared" si="49"/>
        <v>231.90909090909088</v>
      </c>
    </row>
    <row r="74" spans="1:6" x14ac:dyDescent="0.25">
      <c r="A74" t="s">
        <v>22</v>
      </c>
      <c r="B74" s="3">
        <f t="shared" si="49"/>
        <v>85.122727272727289</v>
      </c>
      <c r="C74" s="3">
        <f t="shared" si="49"/>
        <v>113.15625</v>
      </c>
      <c r="D74" s="3">
        <f t="shared" si="49"/>
        <v>131.50454545454545</v>
      </c>
      <c r="E74" s="3">
        <f t="shared" si="49"/>
        <v>168.20113636363635</v>
      </c>
      <c r="F74" s="3">
        <f t="shared" si="49"/>
        <v>185.5272727272727</v>
      </c>
    </row>
    <row r="76" spans="1:6" x14ac:dyDescent="0.25">
      <c r="A76" t="s">
        <v>37</v>
      </c>
      <c r="B76" s="6">
        <f>(B63*B57)*(G52+G29+G6)</f>
        <v>60720.000000000007</v>
      </c>
      <c r="C76" s="6">
        <f>(C63*C57)*($G$52+$G$29+$G$6)</f>
        <v>113850.00000000001</v>
      </c>
      <c r="D76" s="6">
        <f t="shared" ref="D76:F76" si="50">(D63*D57)*($G$52+$G$29+$G$6)</f>
        <v>182160</v>
      </c>
      <c r="E76" s="6">
        <f t="shared" si="50"/>
        <v>318780</v>
      </c>
      <c r="F76" s="6">
        <f t="shared" si="50"/>
        <v>485760.00000000006</v>
      </c>
    </row>
    <row r="77" spans="1:6" x14ac:dyDescent="0.25">
      <c r="A77" t="s">
        <v>38</v>
      </c>
      <c r="B77" s="6">
        <f>(B63*B57)*($G$53+$G$30+$G$7)</f>
        <v>29142</v>
      </c>
      <c r="C77" s="6">
        <f t="shared" ref="C77:F77" si="51">(C63*C57)*($G$53+$G$30+$G$7)</f>
        <v>54641.25</v>
      </c>
      <c r="D77" s="6">
        <f t="shared" si="51"/>
        <v>87426</v>
      </c>
      <c r="E77" s="6">
        <f t="shared" si="51"/>
        <v>152995.5</v>
      </c>
      <c r="F77" s="6">
        <f t="shared" si="51"/>
        <v>233136</v>
      </c>
    </row>
    <row r="78" spans="1:6" x14ac:dyDescent="0.25">
      <c r="A78" t="s">
        <v>39</v>
      </c>
      <c r="B78" s="6">
        <f>B76-B77</f>
        <v>31578.000000000007</v>
      </c>
      <c r="C78" s="6">
        <f t="shared" ref="C78:F78" si="52">C76-C77</f>
        <v>59208.750000000015</v>
      </c>
      <c r="D78" s="6">
        <f t="shared" si="52"/>
        <v>94734</v>
      </c>
      <c r="E78" s="6">
        <f t="shared" si="52"/>
        <v>165784.5</v>
      </c>
      <c r="F78" s="6">
        <f t="shared" si="52"/>
        <v>252624.00000000006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57"/>
  <sheetViews>
    <sheetView showRowColHeaders="0" tabSelected="1" zoomScale="80" zoomScaleNormal="80" workbookViewId="0">
      <selection activeCell="F21" sqref="F21"/>
    </sheetView>
  </sheetViews>
  <sheetFormatPr defaultRowHeight="15" x14ac:dyDescent="0.25"/>
  <cols>
    <col min="1" max="1" width="78" style="9" customWidth="1"/>
    <col min="2" max="4" width="11" style="9" customWidth="1"/>
    <col min="5" max="16384" width="9.140625" style="9"/>
  </cols>
  <sheetData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5">
      <c r="B9" s="10" t="s">
        <v>4</v>
      </c>
      <c r="C9" s="10" t="s">
        <v>1</v>
      </c>
      <c r="D9" s="10" t="s">
        <v>2</v>
      </c>
    </row>
    <row r="10" spans="1:12" x14ac:dyDescent="0.25">
      <c r="A10" s="11" t="s">
        <v>62</v>
      </c>
      <c r="B10" s="10">
        <v>65</v>
      </c>
      <c r="C10" s="10">
        <v>55</v>
      </c>
      <c r="D10" s="10">
        <v>30</v>
      </c>
    </row>
    <row r="11" spans="1:12" x14ac:dyDescent="0.25">
      <c r="A11" s="11" t="s">
        <v>66</v>
      </c>
      <c r="B11" s="12">
        <v>80</v>
      </c>
      <c r="C11" s="12">
        <v>65</v>
      </c>
      <c r="D11" s="12">
        <v>30</v>
      </c>
    </row>
    <row r="12" spans="1:12" ht="9" customHeight="1" x14ac:dyDescent="0.25"/>
    <row r="13" spans="1:12" hidden="1" x14ac:dyDescent="0.25"/>
    <row r="14" spans="1:12" hidden="1" x14ac:dyDescent="0.25">
      <c r="A14" s="13" t="s">
        <v>47</v>
      </c>
      <c r="B14" s="13"/>
    </row>
    <row r="15" spans="1:12" x14ac:dyDescent="0.25">
      <c r="A15" s="14" t="s">
        <v>67</v>
      </c>
      <c r="B15" s="15">
        <v>150</v>
      </c>
    </row>
    <row r="16" spans="1:12" hidden="1" x14ac:dyDescent="0.25">
      <c r="A16" s="11" t="s">
        <v>49</v>
      </c>
      <c r="B16" s="15"/>
    </row>
    <row r="17" spans="1:4" hidden="1" x14ac:dyDescent="0.25">
      <c r="A17" s="11" t="s">
        <v>50</v>
      </c>
      <c r="B17" s="15"/>
    </row>
    <row r="18" spans="1:4" hidden="1" x14ac:dyDescent="0.25">
      <c r="A18" s="11" t="s">
        <v>51</v>
      </c>
      <c r="B18" s="15"/>
    </row>
    <row r="19" spans="1:4" hidden="1" x14ac:dyDescent="0.25">
      <c r="A19" s="11" t="s">
        <v>52</v>
      </c>
      <c r="B19" s="15"/>
    </row>
    <row r="20" spans="1:4" ht="8.25" hidden="1" customHeight="1" x14ac:dyDescent="0.25">
      <c r="B20" s="16"/>
    </row>
    <row r="21" spans="1:4" x14ac:dyDescent="0.25">
      <c r="A21" s="11" t="s">
        <v>46</v>
      </c>
      <c r="B21" s="15">
        <v>4</v>
      </c>
    </row>
    <row r="22" spans="1:4" x14ac:dyDescent="0.25">
      <c r="A22" s="11" t="s">
        <v>40</v>
      </c>
      <c r="B22" s="15">
        <v>50</v>
      </c>
    </row>
    <row r="23" spans="1:4" x14ac:dyDescent="0.25">
      <c r="A23" s="11" t="s">
        <v>41</v>
      </c>
      <c r="B23" s="10">
        <f>(((B15*1)+(B16*0.7)+(B17*0.3)+(B18*1)+(B19*1))/B22)</f>
        <v>3</v>
      </c>
    </row>
    <row r="24" spans="1:4" x14ac:dyDescent="0.25">
      <c r="A24" s="11" t="s">
        <v>63</v>
      </c>
      <c r="B24" s="15">
        <v>200</v>
      </c>
    </row>
    <row r="25" spans="1:4" ht="8.25" customHeight="1" x14ac:dyDescent="0.25"/>
    <row r="26" spans="1:4" x14ac:dyDescent="0.25">
      <c r="A26" s="11" t="s">
        <v>55</v>
      </c>
      <c r="B26" s="10" t="s">
        <v>4</v>
      </c>
      <c r="C26" s="10" t="s">
        <v>1</v>
      </c>
      <c r="D26" s="10" t="s">
        <v>2</v>
      </c>
    </row>
    <row r="27" spans="1:4" x14ac:dyDescent="0.25">
      <c r="A27" s="11" t="s">
        <v>43</v>
      </c>
      <c r="B27" s="15">
        <v>3.5</v>
      </c>
      <c r="C27" s="15">
        <v>3.5</v>
      </c>
      <c r="D27" s="15">
        <v>3.5</v>
      </c>
    </row>
    <row r="28" spans="1:4" x14ac:dyDescent="0.25">
      <c r="A28" s="11" t="s">
        <v>61</v>
      </c>
      <c r="B28" s="15">
        <v>1.5</v>
      </c>
      <c r="C28" s="15">
        <v>1.5</v>
      </c>
      <c r="D28" s="15">
        <v>1.5</v>
      </c>
    </row>
    <row r="29" spans="1:4" hidden="1" x14ac:dyDescent="0.25">
      <c r="A29" s="11" t="s">
        <v>42</v>
      </c>
      <c r="B29" s="17">
        <f>Calculations!B7</f>
        <v>12.67</v>
      </c>
      <c r="C29" s="17">
        <f>Calculations!B30</f>
        <v>12.67</v>
      </c>
      <c r="D29" s="17">
        <f>Calculations!B53</f>
        <v>12.67</v>
      </c>
    </row>
    <row r="30" spans="1:4" ht="8.25" customHeight="1" x14ac:dyDescent="0.25"/>
    <row r="31" spans="1:4" x14ac:dyDescent="0.25">
      <c r="A31" s="11" t="s">
        <v>44</v>
      </c>
      <c r="B31" s="15">
        <v>19</v>
      </c>
      <c r="C31" s="15">
        <v>17</v>
      </c>
      <c r="D31" s="15">
        <v>14</v>
      </c>
    </row>
    <row r="32" spans="1:4" x14ac:dyDescent="0.25">
      <c r="A32" s="11" t="s">
        <v>64</v>
      </c>
      <c r="B32" s="15">
        <v>3.58</v>
      </c>
      <c r="C32" s="15">
        <v>3.77</v>
      </c>
      <c r="D32" s="15">
        <v>3.91</v>
      </c>
    </row>
    <row r="33" spans="1:4" x14ac:dyDescent="0.25">
      <c r="A33" s="11" t="s">
        <v>65</v>
      </c>
      <c r="B33" s="15">
        <v>4.28</v>
      </c>
      <c r="C33" s="15">
        <v>4.4000000000000004</v>
      </c>
      <c r="D33" s="15">
        <v>4.71</v>
      </c>
    </row>
    <row r="34" spans="1:4" hidden="1" x14ac:dyDescent="0.25">
      <c r="A34" s="11" t="s">
        <v>45</v>
      </c>
      <c r="B34" s="18">
        <f>Calculations!L7*100</f>
        <v>37.711864560000002</v>
      </c>
      <c r="C34" s="18">
        <f>Calculations!M7*100</f>
        <v>39.242177400000003</v>
      </c>
      <c r="D34" s="18">
        <f>Calculations!N7*100</f>
        <v>41.80591192</v>
      </c>
    </row>
    <row r="35" spans="1:4" ht="8.25" customHeight="1" x14ac:dyDescent="0.25">
      <c r="B35" s="16"/>
      <c r="C35" s="16"/>
      <c r="D35" s="16"/>
    </row>
    <row r="36" spans="1:4" x14ac:dyDescent="0.25">
      <c r="A36" s="11" t="s">
        <v>78</v>
      </c>
      <c r="B36" s="19">
        <f>Calculations!B19</f>
        <v>104.47727272727275</v>
      </c>
      <c r="C36" s="19">
        <f>Calculations!B42</f>
        <v>138.56818181818184</v>
      </c>
      <c r="D36" s="19">
        <f>Calculations!B65</f>
        <v>40.840909090909108</v>
      </c>
    </row>
    <row r="37" spans="1:4" x14ac:dyDescent="0.25">
      <c r="A37" s="11" t="s">
        <v>79</v>
      </c>
      <c r="B37" s="20">
        <f>Calculations!B20</f>
        <v>8.1622869318181829E-2</v>
      </c>
      <c r="C37" s="20">
        <f>Calculations!B43</f>
        <v>0.10825639204545456</v>
      </c>
      <c r="D37" s="20">
        <f>Calculations!B66</f>
        <v>3.190696022727274E-2</v>
      </c>
    </row>
    <row r="38" spans="1:4" ht="15.75" x14ac:dyDescent="0.25">
      <c r="A38" s="21" t="s">
        <v>83</v>
      </c>
      <c r="B38" s="22">
        <f>(Calculations!B19+Calculations!B42+Calculations!B65)/Calculations!V7</f>
        <v>0.22178622159090913</v>
      </c>
      <c r="C38" s="22"/>
      <c r="D38" s="22"/>
    </row>
    <row r="39" spans="1:4" ht="8.25" customHeight="1" x14ac:dyDescent="0.25"/>
    <row r="40" spans="1:4" x14ac:dyDescent="0.25">
      <c r="A40" s="11" t="s">
        <v>73</v>
      </c>
      <c r="B40" s="10">
        <f>Calculations!I11</f>
        <v>6.75</v>
      </c>
      <c r="C40" s="10">
        <f>Calculations!I34</f>
        <v>6.75</v>
      </c>
      <c r="D40" s="10">
        <f>Calculations!I57</f>
        <v>6.75</v>
      </c>
    </row>
    <row r="41" spans="1:4" x14ac:dyDescent="0.25">
      <c r="A41" s="11" t="s">
        <v>77</v>
      </c>
      <c r="B41" s="23">
        <f>SUM(B40:D40)</f>
        <v>20.25</v>
      </c>
      <c r="C41" s="23"/>
      <c r="D41" s="23"/>
    </row>
    <row r="42" spans="1:4" ht="8.25" customHeight="1" x14ac:dyDescent="0.25"/>
    <row r="43" spans="1:4" x14ac:dyDescent="0.25">
      <c r="A43" s="11" t="s">
        <v>74</v>
      </c>
      <c r="B43" s="24">
        <f>Calculations!I10</f>
        <v>1619.9999999999998</v>
      </c>
      <c r="C43" s="24">
        <f>Calculations!I33</f>
        <v>1619.9999999999998</v>
      </c>
      <c r="D43" s="24">
        <f>Calculations!I56</f>
        <v>1619.9999999999998</v>
      </c>
    </row>
    <row r="44" spans="1:4" x14ac:dyDescent="0.25">
      <c r="A44" s="11" t="s">
        <v>75</v>
      </c>
      <c r="B44" s="25">
        <f>SUM(B43:D43)</f>
        <v>4859.9999999999991</v>
      </c>
      <c r="C44" s="25"/>
      <c r="D44" s="25"/>
    </row>
    <row r="45" spans="1:4" ht="8.25" customHeight="1" x14ac:dyDescent="0.25"/>
    <row r="46" spans="1:4" x14ac:dyDescent="0.25">
      <c r="A46" s="11" t="str">
        <f>Calculations!A73</f>
        <v xml:space="preserve">Milk Sales over the 3 months (€) </v>
      </c>
      <c r="B46" s="25">
        <f>Calculations!B73</f>
        <v>88601.634419400012</v>
      </c>
      <c r="C46" s="25"/>
      <c r="D46" s="25"/>
    </row>
    <row r="47" spans="1:4" x14ac:dyDescent="0.25">
      <c r="A47" s="11" t="str">
        <f>Calculations!A74</f>
        <v>Total Feed Costs over 3 months (€) (including grass cost)</v>
      </c>
      <c r="B47" s="25">
        <f>Calculations!B74</f>
        <v>31537.35</v>
      </c>
      <c r="C47" s="25"/>
      <c r="D47" s="25"/>
    </row>
    <row r="48" spans="1:4" x14ac:dyDescent="0.25">
      <c r="A48" s="11" t="str">
        <f>Calculations!A75</f>
        <v xml:space="preserve">Margin after total feed costs over the 3 months (€) </v>
      </c>
      <c r="B48" s="25">
        <f>Calculations!B75</f>
        <v>57064.284419400014</v>
      </c>
      <c r="C48" s="25"/>
      <c r="D48" s="25"/>
    </row>
    <row r="50" spans="1:2" x14ac:dyDescent="0.25">
      <c r="B50" s="10" t="s">
        <v>81</v>
      </c>
    </row>
    <row r="51" spans="1:2" x14ac:dyDescent="0.25">
      <c r="A51" s="11" t="s">
        <v>80</v>
      </c>
      <c r="B51" s="15"/>
    </row>
    <row r="52" spans="1:2" ht="15.75" x14ac:dyDescent="0.25">
      <c r="A52" s="26" t="s">
        <v>84</v>
      </c>
      <c r="B52" s="27">
        <f>Calculations!U27</f>
        <v>0</v>
      </c>
    </row>
    <row r="54" spans="1:2" x14ac:dyDescent="0.25">
      <c r="A54" s="11" t="s">
        <v>82</v>
      </c>
      <c r="B54" s="15"/>
    </row>
    <row r="55" spans="1:2" ht="15.75" x14ac:dyDescent="0.25">
      <c r="A55" s="26" t="s">
        <v>84</v>
      </c>
      <c r="B55" s="27">
        <f>Calculations!U31</f>
        <v>0</v>
      </c>
    </row>
    <row r="57" spans="1:2" ht="31.5" x14ac:dyDescent="0.25">
      <c r="A57" s="28" t="s">
        <v>85</v>
      </c>
      <c r="B57" s="29">
        <f>B55+B52+B38</f>
        <v>0.22178622159090913</v>
      </c>
    </row>
  </sheetData>
  <mergeCells count="7">
    <mergeCell ref="B48:D48"/>
    <mergeCell ref="B41:D41"/>
    <mergeCell ref="A14:B14"/>
    <mergeCell ref="B38:D38"/>
    <mergeCell ref="B46:D46"/>
    <mergeCell ref="B47:D47"/>
    <mergeCell ref="B44:D4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zoomScale="70" zoomScaleNormal="70" workbookViewId="0">
      <selection activeCell="L11" sqref="L11"/>
    </sheetView>
  </sheetViews>
  <sheetFormatPr defaultRowHeight="15" x14ac:dyDescent="0.25"/>
  <cols>
    <col min="1" max="1" width="51.7109375" bestFit="1" customWidth="1"/>
    <col min="2" max="2" width="10.85546875" bestFit="1" customWidth="1"/>
    <col min="3" max="3" width="33.85546875" bestFit="1" customWidth="1"/>
    <col min="4" max="4" width="31.42578125" bestFit="1" customWidth="1"/>
    <col min="5" max="5" width="16.5703125" bestFit="1" customWidth="1"/>
    <col min="6" max="6" width="9.5703125" bestFit="1" customWidth="1"/>
    <col min="11" max="11" width="20.7109375" bestFit="1" customWidth="1"/>
    <col min="13" max="13" width="10.85546875" bestFit="1" customWidth="1"/>
    <col min="14" max="14" width="8.140625" bestFit="1" customWidth="1"/>
    <col min="17" max="17" width="14.42578125" bestFit="1" customWidth="1"/>
  </cols>
  <sheetData>
    <row r="1" spans="1:25" x14ac:dyDescent="0.25">
      <c r="B1" s="2" t="s">
        <v>4</v>
      </c>
      <c r="C1" s="2"/>
      <c r="D1" s="2"/>
      <c r="E1" s="2"/>
      <c r="F1" s="2"/>
      <c r="L1" t="s">
        <v>4</v>
      </c>
      <c r="M1" t="s">
        <v>1</v>
      </c>
      <c r="N1" t="s">
        <v>2</v>
      </c>
      <c r="Q1" t="s">
        <v>47</v>
      </c>
    </row>
    <row r="2" spans="1:25" x14ac:dyDescent="0.25">
      <c r="A2" t="s">
        <v>6</v>
      </c>
      <c r="B2" s="2">
        <f>L2</f>
        <v>80</v>
      </c>
      <c r="C2" s="2"/>
      <c r="D2" s="2"/>
      <c r="E2" s="2"/>
      <c r="F2" s="2"/>
      <c r="K2" t="s">
        <v>20</v>
      </c>
      <c r="L2" s="2">
        <f>'Farmer input'!B11</f>
        <v>80</v>
      </c>
      <c r="M2" s="2">
        <f>'Farmer input'!C11</f>
        <v>65</v>
      </c>
      <c r="N2" s="2">
        <f>'Farmer input'!D11</f>
        <v>30</v>
      </c>
      <c r="Q2" t="s">
        <v>48</v>
      </c>
      <c r="R2">
        <v>1.6</v>
      </c>
      <c r="S2">
        <f>R2/0.75</f>
        <v>2.1333333333333333</v>
      </c>
      <c r="T2">
        <f>'Farmer input'!B15</f>
        <v>150</v>
      </c>
      <c r="U2">
        <f>'Farmer input'!$B$21</f>
        <v>4</v>
      </c>
      <c r="V2" s="1">
        <f>(U2*S2)*T2</f>
        <v>1280</v>
      </c>
      <c r="W2" s="1">
        <f>((U2*(R2*1000))*T2)</f>
        <v>960000</v>
      </c>
      <c r="X2">
        <v>12</v>
      </c>
      <c r="Y2">
        <f>(X2*T2)*(U2*30)</f>
        <v>216000</v>
      </c>
    </row>
    <row r="3" spans="1:25" x14ac:dyDescent="0.25">
      <c r="A3" t="s">
        <v>18</v>
      </c>
      <c r="B3" s="2">
        <f>L3</f>
        <v>200</v>
      </c>
      <c r="C3" s="2"/>
      <c r="D3" s="2"/>
      <c r="E3" s="2"/>
      <c r="F3" s="2"/>
      <c r="K3" t="s">
        <v>7</v>
      </c>
      <c r="L3" s="2">
        <f>'Farmer input'!B24</f>
        <v>200</v>
      </c>
      <c r="M3" s="2">
        <f>L4</f>
        <v>1000</v>
      </c>
      <c r="N3" s="2">
        <f>M4</f>
        <v>1200</v>
      </c>
      <c r="Q3" t="s">
        <v>49</v>
      </c>
      <c r="R3">
        <v>1.3</v>
      </c>
      <c r="S3">
        <f t="shared" ref="S3:S5" si="0">R3/0.75</f>
        <v>1.7333333333333334</v>
      </c>
      <c r="T3">
        <f>'Farmer input'!B16</f>
        <v>0</v>
      </c>
      <c r="U3">
        <f>'Farmer input'!$B$21</f>
        <v>4</v>
      </c>
      <c r="V3" s="1">
        <f t="shared" ref="V3:V6" si="1">(U3*S3)*T3</f>
        <v>0</v>
      </c>
      <c r="W3" s="1">
        <f t="shared" ref="W3:W6" si="2">((U3*(R3*1000))*T3)</f>
        <v>0</v>
      </c>
    </row>
    <row r="4" spans="1:25" x14ac:dyDescent="0.25">
      <c r="B4" s="2"/>
      <c r="C4" s="2"/>
      <c r="D4" s="2"/>
      <c r="E4" s="2"/>
      <c r="F4" s="2"/>
      <c r="K4" t="s">
        <v>19</v>
      </c>
      <c r="L4" s="2">
        <f>IF('Farmer input'!B23&lt;2.6,750,1000)</f>
        <v>1000</v>
      </c>
      <c r="M4" s="2">
        <f>IF('Farmer input'!B23&lt;2.6,1100,1200)</f>
        <v>1200</v>
      </c>
      <c r="N4" s="2">
        <f>IF('Farmer input'!B23&lt;2.6,550,IF('Farmer input'!B23&gt;3.1,700,600))</f>
        <v>600</v>
      </c>
      <c r="Q4" t="s">
        <v>50</v>
      </c>
      <c r="R4">
        <v>0.7</v>
      </c>
      <c r="S4">
        <f t="shared" si="0"/>
        <v>0.93333333333333324</v>
      </c>
      <c r="T4">
        <f>'Farmer input'!B17</f>
        <v>0</v>
      </c>
      <c r="U4">
        <f>'Farmer input'!$B$21</f>
        <v>4</v>
      </c>
      <c r="V4" s="1">
        <f t="shared" si="1"/>
        <v>0</v>
      </c>
      <c r="W4" s="1">
        <f t="shared" si="2"/>
        <v>0</v>
      </c>
    </row>
    <row r="5" spans="1:25" x14ac:dyDescent="0.25">
      <c r="A5" t="s">
        <v>8</v>
      </c>
      <c r="B5" s="2"/>
      <c r="C5" s="2"/>
      <c r="D5" s="2"/>
      <c r="E5" s="2"/>
      <c r="F5" s="2" t="s">
        <v>35</v>
      </c>
      <c r="G5" t="s">
        <v>36</v>
      </c>
      <c r="H5" t="s">
        <v>28</v>
      </c>
      <c r="K5" t="s">
        <v>21</v>
      </c>
      <c r="L5" s="2">
        <f>L4-L3</f>
        <v>800</v>
      </c>
      <c r="M5" s="2">
        <f t="shared" ref="M5:N5" si="3">M4-M3</f>
        <v>200</v>
      </c>
      <c r="N5" s="2">
        <f t="shared" si="3"/>
        <v>-600</v>
      </c>
      <c r="Q5" t="s">
        <v>51</v>
      </c>
      <c r="R5">
        <v>1.2</v>
      </c>
      <c r="S5">
        <f t="shared" si="0"/>
        <v>1.5999999999999999</v>
      </c>
      <c r="T5">
        <f>'Farmer input'!B18</f>
        <v>0</v>
      </c>
      <c r="U5">
        <f>'Farmer input'!$B$21</f>
        <v>4</v>
      </c>
      <c r="V5" s="1">
        <f t="shared" si="1"/>
        <v>0</v>
      </c>
      <c r="W5" s="1">
        <f t="shared" si="2"/>
        <v>0</v>
      </c>
    </row>
    <row r="6" spans="1:25" x14ac:dyDescent="0.25">
      <c r="A6" t="s">
        <v>11</v>
      </c>
      <c r="B6" s="2">
        <v>17</v>
      </c>
      <c r="C6" s="2"/>
      <c r="D6" s="2"/>
      <c r="E6" s="2" t="s">
        <v>32</v>
      </c>
      <c r="F6" s="2">
        <f>L6*L7</f>
        <v>7.1652542664000007</v>
      </c>
      <c r="G6">
        <f>F6*30</f>
        <v>214.95762799200003</v>
      </c>
      <c r="K6" t="s">
        <v>30</v>
      </c>
      <c r="L6" s="2">
        <f>'Farmer input'!B31</f>
        <v>19</v>
      </c>
      <c r="M6" s="2">
        <f>'Farmer input'!C31</f>
        <v>17</v>
      </c>
      <c r="N6" s="2">
        <f>'Farmer input'!D31</f>
        <v>14</v>
      </c>
      <c r="Q6" t="s">
        <v>52</v>
      </c>
      <c r="R6">
        <v>1.2</v>
      </c>
      <c r="S6">
        <f>R6/0.75</f>
        <v>1.5999999999999999</v>
      </c>
      <c r="T6">
        <f>'Farmer input'!B19</f>
        <v>0</v>
      </c>
      <c r="U6">
        <f>'Farmer input'!$B$21</f>
        <v>4</v>
      </c>
      <c r="V6" s="1">
        <f t="shared" si="1"/>
        <v>0</v>
      </c>
      <c r="W6" s="1">
        <f t="shared" si="2"/>
        <v>0</v>
      </c>
    </row>
    <row r="7" spans="1:25" x14ac:dyDescent="0.25">
      <c r="A7" t="s">
        <v>9</v>
      </c>
      <c r="B7" s="4">
        <f>B6-((B8*0.86)+(B9*0.88))</f>
        <v>12.67</v>
      </c>
      <c r="C7" s="2">
        <f>B7*L9</f>
        <v>1.0136000000000001</v>
      </c>
      <c r="D7" s="2"/>
      <c r="E7" s="2" t="s">
        <v>33</v>
      </c>
      <c r="F7" s="5">
        <f>SUM(C7:C9)</f>
        <v>2.3361000000000001</v>
      </c>
      <c r="G7" s="1">
        <f t="shared" ref="G7:G8" si="4">F7*30</f>
        <v>70.082999999999998</v>
      </c>
      <c r="K7" t="s">
        <v>31</v>
      </c>
      <c r="L7" s="2">
        <f>L23</f>
        <v>0.37711864560000002</v>
      </c>
      <c r="M7" s="2">
        <f t="shared" ref="M7:N7" si="5">M23</f>
        <v>0.39242177400000006</v>
      </c>
      <c r="N7" s="2">
        <f t="shared" si="5"/>
        <v>0.4180591192</v>
      </c>
      <c r="V7" s="1">
        <f>SUM(V2:V6)</f>
        <v>1280</v>
      </c>
      <c r="W7" s="1">
        <f>SUM(W2:W6)</f>
        <v>960000</v>
      </c>
    </row>
    <row r="8" spans="1:25" x14ac:dyDescent="0.25">
      <c r="A8" t="s">
        <v>5</v>
      </c>
      <c r="B8" s="2">
        <f>'Farmer input'!B27</f>
        <v>3.5</v>
      </c>
      <c r="C8" s="2">
        <f>B8*L11</f>
        <v>0.96250000000000013</v>
      </c>
      <c r="D8" s="2"/>
      <c r="E8" s="2" t="s">
        <v>34</v>
      </c>
      <c r="F8" s="5">
        <f>F6-F7</f>
        <v>4.8291542664000007</v>
      </c>
      <c r="G8" s="1">
        <f t="shared" si="4"/>
        <v>144.87462799200003</v>
      </c>
    </row>
    <row r="9" spans="1:25" x14ac:dyDescent="0.25">
      <c r="A9" t="s">
        <v>10</v>
      </c>
      <c r="B9" s="2">
        <f>'Farmer input'!B28</f>
        <v>1.5</v>
      </c>
      <c r="C9" s="2">
        <f>B9*L10</f>
        <v>0.36</v>
      </c>
      <c r="D9" s="2"/>
      <c r="E9" s="2"/>
      <c r="F9" s="2"/>
      <c r="K9" t="s">
        <v>27</v>
      </c>
      <c r="L9" s="2">
        <v>0.08</v>
      </c>
    </row>
    <row r="10" spans="1:25" x14ac:dyDescent="0.25">
      <c r="B10" s="2"/>
      <c r="C10" s="2"/>
      <c r="D10" s="2"/>
      <c r="E10" s="2"/>
      <c r="F10" s="2"/>
      <c r="H10">
        <f>C9*30</f>
        <v>10.799999999999999</v>
      </c>
      <c r="I10">
        <f>H10*'Farmer input'!B15</f>
        <v>1619.9999999999998</v>
      </c>
      <c r="K10" t="s">
        <v>28</v>
      </c>
      <c r="L10" s="2">
        <v>0.24</v>
      </c>
    </row>
    <row r="11" spans="1:25" x14ac:dyDescent="0.25">
      <c r="B11" s="2">
        <f>'Farmer input'!B23</f>
        <v>3</v>
      </c>
      <c r="C11" s="2"/>
      <c r="D11" s="2"/>
      <c r="E11" s="2"/>
      <c r="F11" s="2"/>
      <c r="H11">
        <f>B9*30</f>
        <v>45</v>
      </c>
      <c r="I11">
        <f>(H11*'Farmer input'!B15)/1000</f>
        <v>6.75</v>
      </c>
      <c r="K11" t="s">
        <v>29</v>
      </c>
      <c r="L11" s="2">
        <v>0.27500000000000002</v>
      </c>
    </row>
    <row r="12" spans="1:25" x14ac:dyDescent="0.25">
      <c r="A12" t="s">
        <v>0</v>
      </c>
      <c r="B12" s="3">
        <f>B11*$B$7</f>
        <v>38.01</v>
      </c>
      <c r="C12" s="3"/>
      <c r="D12" s="3"/>
      <c r="E12" s="3"/>
      <c r="F12" s="3"/>
    </row>
    <row r="13" spans="1:25" x14ac:dyDescent="0.25">
      <c r="A13" t="s">
        <v>12</v>
      </c>
      <c r="B13" s="3">
        <f>$B$2-B12</f>
        <v>41.99</v>
      </c>
      <c r="C13" s="3"/>
      <c r="D13" s="3"/>
      <c r="E13" s="3"/>
      <c r="F13" s="3"/>
    </row>
    <row r="14" spans="1:25" x14ac:dyDescent="0.25">
      <c r="A14" t="s">
        <v>13</v>
      </c>
      <c r="B14" s="3">
        <f>B13*30</f>
        <v>1259.7</v>
      </c>
      <c r="C14" s="3"/>
      <c r="D14" s="3"/>
      <c r="E14" s="3"/>
      <c r="F14" s="3"/>
      <c r="K14" t="s">
        <v>31</v>
      </c>
    </row>
    <row r="15" spans="1:25" x14ac:dyDescent="0.25">
      <c r="A15" t="s">
        <v>14</v>
      </c>
      <c r="B15" s="2">
        <f>L5</f>
        <v>800</v>
      </c>
      <c r="C15" s="3">
        <f>B15/30</f>
        <v>26.666666666666668</v>
      </c>
      <c r="D15" s="2" t="s">
        <v>57</v>
      </c>
      <c r="E15" s="2"/>
      <c r="F15" s="2"/>
      <c r="K15" t="s">
        <v>68</v>
      </c>
      <c r="L15">
        <v>6.1609999999999996</v>
      </c>
    </row>
    <row r="16" spans="1:25" x14ac:dyDescent="0.25">
      <c r="B16" s="2"/>
      <c r="C16" s="3">
        <f>C15+B12</f>
        <v>64.676666666666662</v>
      </c>
      <c r="D16" s="2" t="s">
        <v>58</v>
      </c>
      <c r="E16" s="2"/>
      <c r="F16" s="2"/>
      <c r="K16" t="s">
        <v>69</v>
      </c>
      <c r="L16">
        <v>3.7650000000000001</v>
      </c>
    </row>
    <row r="17" spans="1:23" x14ac:dyDescent="0.25">
      <c r="A17" t="s">
        <v>16</v>
      </c>
      <c r="B17" s="2">
        <f>'Farmer input'!B22</f>
        <v>50</v>
      </c>
      <c r="C17" s="3">
        <f>B2-C16</f>
        <v>15.323333333333338</v>
      </c>
      <c r="D17" s="2" t="s">
        <v>59</v>
      </c>
      <c r="E17" s="2"/>
      <c r="F17" s="2"/>
      <c r="K17" t="s">
        <v>70</v>
      </c>
      <c r="L17">
        <v>4</v>
      </c>
    </row>
    <row r="18" spans="1:23" x14ac:dyDescent="0.25">
      <c r="A18" t="s">
        <v>17</v>
      </c>
      <c r="B18" s="3">
        <f>B17*2.471</f>
        <v>123.55000000000001</v>
      </c>
      <c r="C18" s="3"/>
      <c r="D18" s="3"/>
      <c r="E18" s="3"/>
      <c r="F18" s="3"/>
    </row>
    <row r="19" spans="1:23" x14ac:dyDescent="0.25">
      <c r="A19" t="s">
        <v>15</v>
      </c>
      <c r="B19" s="3">
        <f>((B14-$B$15)*B17)/220</f>
        <v>104.47727272727275</v>
      </c>
      <c r="C19" s="3">
        <f>((C17*B17)*30)/220</f>
        <v>104.47727272727276</v>
      </c>
      <c r="D19" s="2" t="s">
        <v>60</v>
      </c>
      <c r="E19" s="3"/>
      <c r="F19" s="3"/>
      <c r="K19" t="s">
        <v>71</v>
      </c>
      <c r="L19">
        <f>'Farmer input'!B32</f>
        <v>3.58</v>
      </c>
      <c r="M19">
        <f>'Farmer input'!C32</f>
        <v>3.77</v>
      </c>
      <c r="N19">
        <f>'Farmer input'!D32</f>
        <v>3.91</v>
      </c>
    </row>
    <row r="20" spans="1:23" x14ac:dyDescent="0.25">
      <c r="A20" t="s">
        <v>53</v>
      </c>
      <c r="B20" s="7">
        <f>B19/V7</f>
        <v>8.1622869318181829E-2</v>
      </c>
      <c r="C20" s="3"/>
      <c r="D20" s="3"/>
      <c r="E20" s="3"/>
      <c r="F20" s="3"/>
      <c r="K20" t="s">
        <v>72</v>
      </c>
      <c r="L20">
        <f>'Farmer input'!B33</f>
        <v>4.28</v>
      </c>
      <c r="M20">
        <f>'Farmer input'!C33</f>
        <v>4.4000000000000004</v>
      </c>
      <c r="N20">
        <f>'Farmer input'!D33</f>
        <v>4.71</v>
      </c>
    </row>
    <row r="21" spans="1:23" x14ac:dyDescent="0.25">
      <c r="B21" s="3"/>
      <c r="C21" s="3"/>
      <c r="D21" s="3"/>
      <c r="E21" s="3"/>
      <c r="F21" s="3"/>
    </row>
    <row r="22" spans="1:23" x14ac:dyDescent="0.25">
      <c r="B22" s="3"/>
      <c r="C22" s="3"/>
      <c r="D22" s="3"/>
      <c r="E22" s="3"/>
      <c r="F22" s="3"/>
      <c r="L22">
        <f>((((L19/100)*$L$16)+((L20/100)*$L$15))-($L$17/100))</f>
        <v>0.35847780000000001</v>
      </c>
      <c r="M22">
        <f t="shared" ref="M22:N22" si="6">((((M19/100)*$L$16)+((M20/100)*$L$15))-($L$17/100))</f>
        <v>0.37302450000000004</v>
      </c>
      <c r="N22">
        <f t="shared" si="6"/>
        <v>0.39739459999999999</v>
      </c>
    </row>
    <row r="23" spans="1:23" x14ac:dyDescent="0.25">
      <c r="B23" s="2"/>
      <c r="C23" s="2"/>
      <c r="D23" s="2"/>
      <c r="E23" s="2"/>
      <c r="F23" s="2"/>
      <c r="L23">
        <f>L22*1.052</f>
        <v>0.37711864560000002</v>
      </c>
      <c r="M23">
        <f t="shared" ref="M23:N23" si="7">M22*1.052</f>
        <v>0.39242177400000006</v>
      </c>
      <c r="N23">
        <f t="shared" si="7"/>
        <v>0.4180591192</v>
      </c>
    </row>
    <row r="24" spans="1:23" x14ac:dyDescent="0.25">
      <c r="B24" s="2" t="s">
        <v>1</v>
      </c>
      <c r="C24" s="2"/>
      <c r="D24" s="2"/>
      <c r="E24" s="2"/>
      <c r="F24" s="2"/>
    </row>
    <row r="25" spans="1:23" x14ac:dyDescent="0.25">
      <c r="A25" t="s">
        <v>6</v>
      </c>
      <c r="B25" s="2">
        <f>M2</f>
        <v>65</v>
      </c>
      <c r="C25" s="2"/>
      <c r="D25" s="2"/>
      <c r="E25" s="2"/>
      <c r="F25" s="2"/>
    </row>
    <row r="26" spans="1:23" x14ac:dyDescent="0.25">
      <c r="A26" t="s">
        <v>18</v>
      </c>
      <c r="B26" s="2">
        <f>M3</f>
        <v>1000</v>
      </c>
      <c r="C26" s="2"/>
      <c r="D26" s="2"/>
      <c r="E26" s="2"/>
      <c r="F26" s="2"/>
      <c r="Q26">
        <f>'Farmer input'!A50</f>
        <v>0</v>
      </c>
      <c r="R26" t="str">
        <f>'Farmer input'!B50</f>
        <v>Acres</v>
      </c>
    </row>
    <row r="27" spans="1:23" x14ac:dyDescent="0.25">
      <c r="B27" s="2"/>
      <c r="C27" s="2"/>
      <c r="D27" s="2"/>
      <c r="E27" s="2"/>
      <c r="F27" s="2"/>
      <c r="Q27" t="str">
        <f>'Farmer input'!A51</f>
        <v xml:space="preserve">Maize Silage </v>
      </c>
      <c r="R27">
        <f>'Farmer input'!B51</f>
        <v>0</v>
      </c>
      <c r="S27">
        <f>R27*20000</f>
        <v>0</v>
      </c>
      <c r="T27">
        <f>R27*6000</f>
        <v>0</v>
      </c>
      <c r="U27">
        <f>T27/Y2</f>
        <v>0</v>
      </c>
      <c r="W27">
        <f>T2*U27</f>
        <v>0</v>
      </c>
    </row>
    <row r="28" spans="1:23" x14ac:dyDescent="0.25">
      <c r="A28" t="s">
        <v>8</v>
      </c>
      <c r="B28" s="2"/>
      <c r="C28" s="2"/>
      <c r="D28" s="2"/>
      <c r="E28" s="2"/>
      <c r="F28" s="2" t="s">
        <v>35</v>
      </c>
      <c r="G28" t="s">
        <v>36</v>
      </c>
      <c r="Q28" t="str">
        <f>'Farmer input'!A52</f>
        <v>Proportion of your Dairy cows winter forage requirement:</v>
      </c>
      <c r="R28">
        <f>S27/W7</f>
        <v>0</v>
      </c>
    </row>
    <row r="29" spans="1:23" x14ac:dyDescent="0.25">
      <c r="A29" t="s">
        <v>11</v>
      </c>
      <c r="B29" s="2">
        <v>17</v>
      </c>
      <c r="C29" s="2"/>
      <c r="D29" s="2"/>
      <c r="E29" s="2" t="s">
        <v>32</v>
      </c>
      <c r="F29" s="2">
        <f>M6*M7</f>
        <v>6.6711701580000007</v>
      </c>
      <c r="G29" s="1">
        <f>F29*30</f>
        <v>200.13510474000003</v>
      </c>
      <c r="Q29">
        <f>'Farmer input'!A53</f>
        <v>0</v>
      </c>
    </row>
    <row r="30" spans="1:23" x14ac:dyDescent="0.25">
      <c r="A30" t="s">
        <v>9</v>
      </c>
      <c r="B30" s="4">
        <f>B29-((B31*0.86)+(B32*0.88))</f>
        <v>12.67</v>
      </c>
      <c r="C30" s="2">
        <f>B30*L9</f>
        <v>1.0136000000000001</v>
      </c>
      <c r="D30" s="2"/>
      <c r="E30" s="2" t="s">
        <v>33</v>
      </c>
      <c r="F30" s="5">
        <f>SUM(C30:C32)</f>
        <v>2.3361000000000001</v>
      </c>
      <c r="G30" s="1">
        <f t="shared" ref="G30:G31" si="8">F30*30</f>
        <v>70.082999999999998</v>
      </c>
      <c r="Q30">
        <f>'Farmer input'!A53</f>
        <v>0</v>
      </c>
      <c r="R30">
        <f>'Farmer input'!B53</f>
        <v>0</v>
      </c>
    </row>
    <row r="31" spans="1:23" x14ac:dyDescent="0.25">
      <c r="A31" t="s">
        <v>5</v>
      </c>
      <c r="B31" s="2">
        <f>'Farmer input'!C27</f>
        <v>3.5</v>
      </c>
      <c r="C31" s="2">
        <f>B31*L11</f>
        <v>0.96250000000000013</v>
      </c>
      <c r="D31" s="2"/>
      <c r="E31" s="2" t="s">
        <v>34</v>
      </c>
      <c r="F31" s="5">
        <f>F29-F30</f>
        <v>4.3350701580000006</v>
      </c>
      <c r="G31" s="1">
        <f t="shared" si="8"/>
        <v>130.05210474</v>
      </c>
      <c r="Q31" t="str">
        <f>'Farmer input'!A54</f>
        <v>Wholecrop</v>
      </c>
      <c r="R31">
        <f>'Farmer input'!B54</f>
        <v>0</v>
      </c>
      <c r="S31">
        <f>R31*10000</f>
        <v>0</v>
      </c>
      <c r="T31">
        <f>R31*3500</f>
        <v>0</v>
      </c>
      <c r="U31">
        <f>T31/Y2</f>
        <v>0</v>
      </c>
      <c r="W31">
        <f>T2*U31</f>
        <v>0</v>
      </c>
    </row>
    <row r="32" spans="1:23" x14ac:dyDescent="0.25">
      <c r="A32" t="s">
        <v>10</v>
      </c>
      <c r="B32" s="2">
        <f>'Farmer input'!C28</f>
        <v>1.5</v>
      </c>
      <c r="C32" s="2">
        <f>B32*L10</f>
        <v>0.36</v>
      </c>
      <c r="D32" s="2"/>
      <c r="E32" s="2"/>
      <c r="F32" s="2"/>
      <c r="Q32" t="str">
        <f>'Farmer input'!A55</f>
        <v>Proportion of your Dairy cows winter forage requirement:</v>
      </c>
      <c r="R32">
        <f>S31/W7</f>
        <v>0</v>
      </c>
    </row>
    <row r="33" spans="1:9" x14ac:dyDescent="0.25">
      <c r="B33" s="2"/>
      <c r="C33" s="2"/>
      <c r="D33" s="2"/>
      <c r="E33" s="2"/>
      <c r="F33" s="2"/>
      <c r="H33">
        <f>C32*30</f>
        <v>10.799999999999999</v>
      </c>
      <c r="I33">
        <f>H33*'Farmer input'!B15</f>
        <v>1619.9999999999998</v>
      </c>
    </row>
    <row r="34" spans="1:9" x14ac:dyDescent="0.25">
      <c r="A34" t="s">
        <v>0</v>
      </c>
      <c r="B34" s="2">
        <f>B11</f>
        <v>3</v>
      </c>
      <c r="C34" s="2"/>
      <c r="D34" s="2"/>
      <c r="E34" s="2"/>
      <c r="F34" s="2"/>
      <c r="H34">
        <f>B32*30</f>
        <v>45</v>
      </c>
      <c r="I34">
        <f>(H34*'Farmer input'!B15)/1000</f>
        <v>6.75</v>
      </c>
    </row>
    <row r="35" spans="1:9" x14ac:dyDescent="0.25">
      <c r="A35" t="s">
        <v>26</v>
      </c>
      <c r="B35" s="3">
        <f>B34*$B$30</f>
        <v>38.01</v>
      </c>
      <c r="C35" s="3"/>
      <c r="D35" s="3"/>
      <c r="E35" s="3"/>
      <c r="F35" s="3"/>
    </row>
    <row r="36" spans="1:9" x14ac:dyDescent="0.25">
      <c r="A36" t="s">
        <v>12</v>
      </c>
      <c r="B36" s="3">
        <f>$B$25-B35</f>
        <v>26.990000000000002</v>
      </c>
      <c r="C36" s="3"/>
      <c r="D36" s="3"/>
      <c r="E36" s="3"/>
      <c r="F36" s="3"/>
    </row>
    <row r="37" spans="1:9" x14ac:dyDescent="0.25">
      <c r="A37" t="s">
        <v>13</v>
      </c>
      <c r="B37" s="3">
        <f>B36*30</f>
        <v>809.7</v>
      </c>
      <c r="C37" s="3"/>
      <c r="D37" s="3"/>
      <c r="E37" s="3"/>
      <c r="F37" s="3"/>
    </row>
    <row r="38" spans="1:9" x14ac:dyDescent="0.25">
      <c r="A38" t="s">
        <v>14</v>
      </c>
      <c r="B38" s="2">
        <f>M5</f>
        <v>200</v>
      </c>
      <c r="C38" s="3">
        <f>B38/30</f>
        <v>6.666666666666667</v>
      </c>
      <c r="D38" s="2" t="s">
        <v>57</v>
      </c>
      <c r="E38" s="2"/>
      <c r="F38" s="2"/>
    </row>
    <row r="39" spans="1:9" x14ac:dyDescent="0.25">
      <c r="B39" s="2"/>
      <c r="C39" s="3">
        <f>C38+B35</f>
        <v>44.676666666666662</v>
      </c>
      <c r="D39" s="2" t="s">
        <v>58</v>
      </c>
      <c r="E39" s="2"/>
      <c r="F39" s="2"/>
    </row>
    <row r="40" spans="1:9" x14ac:dyDescent="0.25">
      <c r="A40" t="s">
        <v>16</v>
      </c>
      <c r="B40" s="2">
        <f>'Farmer input'!B22</f>
        <v>50</v>
      </c>
      <c r="C40" s="3">
        <f>B25-C39</f>
        <v>20.323333333333338</v>
      </c>
      <c r="D40" s="2" t="s">
        <v>59</v>
      </c>
      <c r="E40" s="2"/>
      <c r="F40" s="2"/>
    </row>
    <row r="41" spans="1:9" x14ac:dyDescent="0.25">
      <c r="A41" t="s">
        <v>17</v>
      </c>
      <c r="B41" s="3">
        <f>B40*2.471</f>
        <v>123.55000000000001</v>
      </c>
      <c r="C41" s="3"/>
      <c r="D41" s="3"/>
      <c r="E41" s="3"/>
      <c r="F41" s="3"/>
    </row>
    <row r="42" spans="1:9" x14ac:dyDescent="0.25">
      <c r="A42" t="s">
        <v>15</v>
      </c>
      <c r="B42" s="3">
        <f>((B37-$B$38)*B40)/220</f>
        <v>138.56818181818184</v>
      </c>
      <c r="C42" s="3">
        <f>((C40*B40)*30)/220</f>
        <v>138.56818181818184</v>
      </c>
      <c r="D42" s="2" t="s">
        <v>60</v>
      </c>
      <c r="E42" s="3"/>
      <c r="F42" s="3"/>
    </row>
    <row r="43" spans="1:9" x14ac:dyDescent="0.25">
      <c r="A43" t="s">
        <v>53</v>
      </c>
      <c r="B43" s="7">
        <f>B42/V7</f>
        <v>0.10825639204545456</v>
      </c>
      <c r="C43" s="3"/>
      <c r="D43" s="3"/>
      <c r="E43" s="3"/>
      <c r="F43" s="3"/>
    </row>
    <row r="44" spans="1:9" x14ac:dyDescent="0.25">
      <c r="C44" s="3"/>
      <c r="D44" s="3"/>
      <c r="E44" s="3"/>
      <c r="F44" s="3"/>
    </row>
    <row r="45" spans="1:9" x14ac:dyDescent="0.25">
      <c r="B45" s="3"/>
      <c r="C45" s="3"/>
      <c r="D45" s="3"/>
      <c r="E45" s="3"/>
      <c r="F45" s="3"/>
    </row>
    <row r="46" spans="1:9" x14ac:dyDescent="0.25">
      <c r="B46" s="3"/>
      <c r="C46" s="3"/>
      <c r="D46" s="3"/>
      <c r="E46" s="3"/>
      <c r="F46" s="3"/>
    </row>
    <row r="47" spans="1:9" x14ac:dyDescent="0.25">
      <c r="B47" s="2" t="s">
        <v>2</v>
      </c>
      <c r="C47" s="2"/>
      <c r="D47" s="2"/>
      <c r="E47" s="2"/>
      <c r="F47" s="2"/>
    </row>
    <row r="48" spans="1:9" x14ac:dyDescent="0.25">
      <c r="A48" t="s">
        <v>6</v>
      </c>
      <c r="B48" s="2">
        <f>N2</f>
        <v>30</v>
      </c>
      <c r="C48" s="2"/>
      <c r="D48" s="2"/>
      <c r="E48" s="2"/>
      <c r="F48" s="2"/>
    </row>
    <row r="49" spans="1:9" x14ac:dyDescent="0.25">
      <c r="A49" t="s">
        <v>18</v>
      </c>
      <c r="B49" s="2">
        <f>N3</f>
        <v>1200</v>
      </c>
      <c r="C49" s="2"/>
      <c r="D49" s="2"/>
      <c r="E49" s="2"/>
      <c r="F49" s="2"/>
    </row>
    <row r="50" spans="1:9" x14ac:dyDescent="0.25">
      <c r="B50" s="2"/>
      <c r="C50" s="2"/>
      <c r="D50" s="2"/>
      <c r="E50" s="2"/>
      <c r="F50" s="2"/>
    </row>
    <row r="51" spans="1:9" x14ac:dyDescent="0.25">
      <c r="A51" t="s">
        <v>8</v>
      </c>
      <c r="B51" s="2"/>
      <c r="C51" s="2"/>
      <c r="D51" s="2"/>
      <c r="E51" s="2"/>
      <c r="F51" s="2"/>
      <c r="G51" t="s">
        <v>36</v>
      </c>
    </row>
    <row r="52" spans="1:9" x14ac:dyDescent="0.25">
      <c r="A52" t="s">
        <v>11</v>
      </c>
      <c r="B52" s="2">
        <v>17</v>
      </c>
      <c r="C52" s="2"/>
      <c r="D52" s="2"/>
      <c r="E52" s="2" t="s">
        <v>32</v>
      </c>
      <c r="F52" s="2">
        <f>N6*N7</f>
        <v>5.8528276687999998</v>
      </c>
      <c r="G52">
        <f>F52*30</f>
        <v>175.58483006399999</v>
      </c>
    </row>
    <row r="53" spans="1:9" x14ac:dyDescent="0.25">
      <c r="A53" t="s">
        <v>9</v>
      </c>
      <c r="B53" s="4">
        <f>B52-((B54*0.86)+(B55*0.88))</f>
        <v>12.67</v>
      </c>
      <c r="C53" s="2">
        <f>B53*L9</f>
        <v>1.0136000000000001</v>
      </c>
      <c r="D53" s="2"/>
      <c r="E53" s="2" t="s">
        <v>33</v>
      </c>
      <c r="F53" s="5">
        <f>SUM(C53:C55)</f>
        <v>2.3361000000000001</v>
      </c>
      <c r="G53" s="1">
        <f t="shared" ref="G53:G54" si="9">F53*30</f>
        <v>70.082999999999998</v>
      </c>
    </row>
    <row r="54" spans="1:9" x14ac:dyDescent="0.25">
      <c r="A54" t="s">
        <v>5</v>
      </c>
      <c r="B54" s="2">
        <f>'Farmer input'!D27</f>
        <v>3.5</v>
      </c>
      <c r="C54" s="2">
        <f>B54*L11</f>
        <v>0.96250000000000013</v>
      </c>
      <c r="D54" s="2"/>
      <c r="E54" s="2" t="s">
        <v>34</v>
      </c>
      <c r="F54" s="5">
        <f>F52-F53</f>
        <v>3.5167276687999998</v>
      </c>
      <c r="G54" s="1">
        <f t="shared" si="9"/>
        <v>105.50183006399999</v>
      </c>
    </row>
    <row r="55" spans="1:9" x14ac:dyDescent="0.25">
      <c r="A55" t="s">
        <v>10</v>
      </c>
      <c r="B55" s="2">
        <f>'Farmer input'!D28</f>
        <v>1.5</v>
      </c>
      <c r="C55" s="2">
        <f>B55*L10</f>
        <v>0.36</v>
      </c>
      <c r="D55" s="2"/>
      <c r="E55" s="2"/>
      <c r="F55" s="2"/>
    </row>
    <row r="56" spans="1:9" x14ac:dyDescent="0.25">
      <c r="B56" s="2"/>
      <c r="C56" s="2"/>
      <c r="D56" s="2"/>
      <c r="E56" s="2"/>
      <c r="F56" s="2"/>
      <c r="H56">
        <f>C55*30</f>
        <v>10.799999999999999</v>
      </c>
      <c r="I56">
        <f>H56*'Farmer input'!B15</f>
        <v>1619.9999999999998</v>
      </c>
    </row>
    <row r="57" spans="1:9" x14ac:dyDescent="0.25">
      <c r="B57" s="2">
        <f>'Farmer input'!B23</f>
        <v>3</v>
      </c>
      <c r="C57" s="2"/>
      <c r="D57" s="2"/>
      <c r="E57" s="2"/>
      <c r="F57" s="2"/>
      <c r="H57">
        <f>B55*30</f>
        <v>45</v>
      </c>
      <c r="I57">
        <f>(H57*'Farmer input'!B15)/1000</f>
        <v>6.75</v>
      </c>
    </row>
    <row r="58" spans="1:9" x14ac:dyDescent="0.25">
      <c r="A58" t="s">
        <v>0</v>
      </c>
      <c r="B58" s="3">
        <f>B57*$B$53</f>
        <v>38.01</v>
      </c>
      <c r="C58" s="3"/>
      <c r="D58" s="3"/>
      <c r="E58" s="3"/>
      <c r="F58" s="3"/>
    </row>
    <row r="59" spans="1:9" x14ac:dyDescent="0.25">
      <c r="A59" t="s">
        <v>12</v>
      </c>
      <c r="B59" s="5">
        <f>$B$48-B58</f>
        <v>-8.009999999999998</v>
      </c>
      <c r="C59" s="3"/>
      <c r="D59" s="3"/>
      <c r="E59" s="3"/>
      <c r="F59" s="3"/>
    </row>
    <row r="60" spans="1:9" x14ac:dyDescent="0.25">
      <c r="A60" t="s">
        <v>13</v>
      </c>
      <c r="B60" s="3">
        <f>B59*30</f>
        <v>-240.29999999999995</v>
      </c>
      <c r="C60" s="3"/>
      <c r="D60" s="3"/>
      <c r="E60" s="3"/>
      <c r="F60" s="3"/>
    </row>
    <row r="61" spans="1:9" x14ac:dyDescent="0.25">
      <c r="A61" t="s">
        <v>14</v>
      </c>
      <c r="B61" s="2">
        <f>N5*0.7</f>
        <v>-420</v>
      </c>
      <c r="C61" s="3">
        <f>B61/30</f>
        <v>-14</v>
      </c>
      <c r="D61" s="2" t="s">
        <v>57</v>
      </c>
      <c r="E61" s="2"/>
      <c r="F61" s="2"/>
    </row>
    <row r="62" spans="1:9" x14ac:dyDescent="0.25">
      <c r="B62" s="2"/>
      <c r="C62" s="3">
        <f>C61+B58</f>
        <v>24.009999999999998</v>
      </c>
      <c r="D62" s="2" t="s">
        <v>58</v>
      </c>
      <c r="E62" s="2"/>
      <c r="F62" s="2"/>
    </row>
    <row r="63" spans="1:9" x14ac:dyDescent="0.25">
      <c r="A63" t="s">
        <v>16</v>
      </c>
      <c r="B63" s="2">
        <v>50</v>
      </c>
      <c r="C63" s="3">
        <f>B48-C62</f>
        <v>5.990000000000002</v>
      </c>
      <c r="D63" s="2" t="s">
        <v>59</v>
      </c>
      <c r="E63" s="2"/>
      <c r="F63" s="2"/>
    </row>
    <row r="64" spans="1:9" x14ac:dyDescent="0.25">
      <c r="A64" t="s">
        <v>17</v>
      </c>
      <c r="B64" s="3">
        <f>B63*2.471</f>
        <v>123.55000000000001</v>
      </c>
      <c r="C64" s="3"/>
      <c r="D64" s="3"/>
      <c r="E64" s="3"/>
      <c r="F64" s="3"/>
    </row>
    <row r="65" spans="1:6" x14ac:dyDescent="0.25">
      <c r="A65" t="s">
        <v>15</v>
      </c>
      <c r="B65" s="3">
        <f>((C63*B63)*30)/220</f>
        <v>40.840909090909108</v>
      </c>
      <c r="D65" s="2" t="s">
        <v>60</v>
      </c>
      <c r="E65" s="3"/>
      <c r="F65" s="3"/>
    </row>
    <row r="66" spans="1:6" x14ac:dyDescent="0.25">
      <c r="A66" t="s">
        <v>53</v>
      </c>
      <c r="B66" s="7">
        <f>B65/V7</f>
        <v>3.190696022727274E-2</v>
      </c>
      <c r="C66" s="3"/>
      <c r="D66" s="3"/>
      <c r="E66" s="3"/>
      <c r="F66" s="3"/>
    </row>
    <row r="67" spans="1:6" x14ac:dyDescent="0.25">
      <c r="B67" s="3"/>
      <c r="C67" s="3"/>
      <c r="D67" s="3"/>
      <c r="E67" s="3"/>
      <c r="F67" s="3"/>
    </row>
    <row r="68" spans="1:6" x14ac:dyDescent="0.25">
      <c r="C68" s="3"/>
      <c r="D68" s="3"/>
      <c r="E68" s="3"/>
      <c r="F68" s="3"/>
    </row>
    <row r="69" spans="1:6" x14ac:dyDescent="0.25">
      <c r="B69" s="2"/>
      <c r="C69" s="2"/>
      <c r="D69" s="2"/>
      <c r="E69" s="2"/>
      <c r="F69" s="2"/>
    </row>
    <row r="70" spans="1:6" x14ac:dyDescent="0.25">
      <c r="A70" t="s">
        <v>54</v>
      </c>
      <c r="B70" s="3">
        <f>(H56+H33+H10)*'Farmer input'!B15</f>
        <v>4860</v>
      </c>
      <c r="C70" s="3"/>
      <c r="D70" s="3"/>
      <c r="E70" s="3"/>
      <c r="F70" s="3"/>
    </row>
    <row r="71" spans="1:6" x14ac:dyDescent="0.25">
      <c r="B71" s="2"/>
      <c r="C71" s="2"/>
      <c r="D71" s="2"/>
      <c r="E71" s="2"/>
      <c r="F71" s="2"/>
    </row>
    <row r="73" spans="1:6" x14ac:dyDescent="0.25">
      <c r="A73" t="s">
        <v>37</v>
      </c>
      <c r="B73" s="6">
        <f>'Farmer input'!B15*(G52+G29+G6)</f>
        <v>88601.634419400012</v>
      </c>
      <c r="C73" s="6"/>
      <c r="D73" s="6"/>
      <c r="E73" s="6"/>
      <c r="F73" s="6"/>
    </row>
    <row r="74" spans="1:6" x14ac:dyDescent="0.25">
      <c r="A74" t="s">
        <v>76</v>
      </c>
      <c r="B74" s="6">
        <f>'Farmer input'!B15*($G$53+$G$30+$G$7)</f>
        <v>31537.35</v>
      </c>
      <c r="C74" s="6"/>
      <c r="D74" s="6"/>
      <c r="E74" s="6"/>
      <c r="F74" s="6"/>
    </row>
    <row r="75" spans="1:6" x14ac:dyDescent="0.25">
      <c r="A75" t="s">
        <v>56</v>
      </c>
      <c r="B75" s="6">
        <f>B73-B74</f>
        <v>57064.284419400014</v>
      </c>
      <c r="C75" s="6"/>
      <c r="D75" s="6"/>
      <c r="E75" s="6"/>
      <c r="F7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Farmer input</vt:lpstr>
      <vt:lpstr>Calculations</vt:lpstr>
      <vt:lpstr>Sheet1</vt:lpstr>
      <vt:lpstr>Sheet3</vt:lpstr>
      <vt:lpstr>Sheet4</vt:lpstr>
    </vt:vector>
  </TitlesOfParts>
  <Company>Dairygold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Stack</dc:creator>
  <cp:lastModifiedBy>Shane Cotter</cp:lastModifiedBy>
  <dcterms:created xsi:type="dcterms:W3CDTF">2018-07-10T19:16:10Z</dcterms:created>
  <dcterms:modified xsi:type="dcterms:W3CDTF">2018-07-23T15:33:40Z</dcterms:modified>
</cp:coreProperties>
</file>